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JA.KAIRISA\Nextcloud\Ekonomistu kopējā mape\MP\Pakalpojumi\431 LAUTA\LAUTA_2026\"/>
    </mc:Choice>
  </mc:AlternateContent>
  <xr:revisionPtr revIDLastSave="0" documentId="13_ncr:1_{7EC97150-A0BF-49E9-B068-2BE32D4D68A0}" xr6:coauthVersionLast="47" xr6:coauthVersionMax="47" xr10:uidLastSave="{00000000-0000-0000-0000-000000000000}"/>
  <bookViews>
    <workbookView xWindow="-27360" yWindow="510" windowWidth="27675" windowHeight="14295" xr2:uid="{94D4E0C3-EF5C-4070-8764-0293F018BD76}"/>
  </bookViews>
  <sheets>
    <sheet name="Gida_pakalpojumi" sheetId="1" r:id="rId1"/>
    <sheet name="Suvenīrmonētas_kalšana" sheetId="4" r:id="rId2"/>
    <sheet name="Dušas izmantošana" sheetId="5" r:id="rId3"/>
    <sheet name="Inventāra_noma" sheetId="6" r:id="rId4"/>
    <sheet name="Telpu_noma_Burtnieku 2" sheetId="7" r:id="rId5"/>
    <sheet name="Burtnieku_kvartāla_noma" sheetId="8" r:id="rId6"/>
    <sheet name="Nolietojums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G12" i="8"/>
  <c r="C11" i="8"/>
  <c r="G10" i="8"/>
  <c r="C10" i="1" l="1"/>
  <c r="C9" i="1"/>
  <c r="G11" i="1"/>
  <c r="G10" i="1"/>
  <c r="G9" i="1"/>
  <c r="K11" i="1" l="1"/>
  <c r="K14" i="1"/>
  <c r="G14" i="1"/>
  <c r="C14" i="1"/>
  <c r="K10" i="1"/>
  <c r="K9" i="1"/>
  <c r="C12" i="1" l="1"/>
  <c r="G12" i="1"/>
  <c r="K12" i="1"/>
  <c r="C12" i="8" l="1"/>
  <c r="K12" i="8" l="1"/>
  <c r="T26" i="6" l="1"/>
  <c r="P26" i="6"/>
  <c r="K26" i="6"/>
  <c r="G26" i="6"/>
  <c r="K29" i="7"/>
  <c r="G29" i="7"/>
  <c r="C29" i="7"/>
  <c r="G14" i="7"/>
  <c r="G13" i="7"/>
  <c r="G11" i="7"/>
  <c r="C13" i="7"/>
  <c r="C11" i="7"/>
  <c r="C17" i="7"/>
  <c r="K17" i="7" l="1"/>
  <c r="C28" i="5"/>
  <c r="C12" i="5"/>
  <c r="K13" i="6" l="1"/>
  <c r="K16" i="6" s="1"/>
  <c r="C13" i="6"/>
  <c r="T13" i="6"/>
  <c r="K11" i="6" l="1"/>
  <c r="G13" i="6"/>
  <c r="T15" i="6"/>
  <c r="P14" i="6"/>
  <c r="K14" i="6"/>
  <c r="G15" i="6"/>
  <c r="C14" i="6"/>
  <c r="T9" i="6" l="1"/>
  <c r="P9" i="6"/>
  <c r="K9" i="6"/>
  <c r="G9" i="6"/>
  <c r="C9" i="6"/>
  <c r="C10" i="5" l="1"/>
  <c r="C9" i="4"/>
  <c r="K10" i="8"/>
  <c r="K11" i="8" l="1"/>
  <c r="G9" i="8"/>
  <c r="C10" i="7"/>
  <c r="C10" i="8"/>
  <c r="C13" i="8" l="1"/>
  <c r="C15" i="8" s="1"/>
  <c r="C15" i="5"/>
  <c r="K11" i="7" l="1"/>
  <c r="K12" i="7"/>
  <c r="K9" i="7"/>
  <c r="G9" i="7"/>
  <c r="G15" i="7" s="1"/>
  <c r="G18" i="7" s="1"/>
  <c r="G17" i="7"/>
  <c r="G12" i="7"/>
  <c r="C12" i="7"/>
  <c r="C9" i="5"/>
  <c r="G19" i="7" l="1"/>
  <c r="C13" i="5"/>
  <c r="C16" i="5" s="1"/>
  <c r="C11" i="5" l="1"/>
  <c r="K10" i="7"/>
  <c r="G10" i="7"/>
  <c r="C9" i="7" l="1"/>
  <c r="G13" i="8" l="1"/>
  <c r="G15" i="8" s="1"/>
  <c r="K13" i="8"/>
  <c r="C15" i="7"/>
  <c r="C18" i="7" s="1"/>
  <c r="T11" i="6"/>
  <c r="P11" i="6"/>
  <c r="G11" i="6"/>
  <c r="C11" i="6"/>
  <c r="C18" i="5"/>
  <c r="C11" i="4"/>
  <c r="C13" i="4" s="1"/>
  <c r="K15" i="7" l="1"/>
  <c r="G20" i="7"/>
  <c r="T16" i="6"/>
  <c r="T17" i="6" s="1"/>
  <c r="G16" i="6"/>
  <c r="G17" i="6" s="1"/>
  <c r="K15" i="8"/>
  <c r="K16" i="8" s="1"/>
  <c r="K17" i="8" s="1"/>
  <c r="C16" i="8"/>
  <c r="C17" i="8" s="1"/>
  <c r="G16" i="8"/>
  <c r="G17" i="8" s="1"/>
  <c r="C19" i="7"/>
  <c r="C20" i="7" s="1"/>
  <c r="C16" i="6"/>
  <c r="C17" i="6" s="1"/>
  <c r="P16" i="6"/>
  <c r="P17" i="6" s="1"/>
  <c r="K17" i="6"/>
  <c r="C19" i="5"/>
  <c r="C15" i="4"/>
  <c r="C16" i="4" s="1"/>
  <c r="K15" i="1" l="1"/>
  <c r="K16" i="1" s="1"/>
  <c r="K17" i="1" s="1"/>
  <c r="K18" i="1" s="1"/>
  <c r="K19" i="1" s="1"/>
  <c r="K26" i="1" s="1"/>
  <c r="C15" i="1"/>
  <c r="C16" i="1" s="1"/>
  <c r="C17" i="1" s="1"/>
  <c r="C18" i="1" s="1"/>
  <c r="C19" i="1" s="1"/>
  <c r="C26" i="1" s="1"/>
  <c r="G15" i="1"/>
  <c r="G16" i="1" s="1"/>
  <c r="G17" i="1" s="1"/>
  <c r="K18" i="7"/>
  <c r="K19" i="7" s="1"/>
  <c r="K20" i="7" s="1"/>
  <c r="T18" i="6"/>
  <c r="T19" i="6" s="1"/>
  <c r="C18" i="8"/>
  <c r="C19" i="8" s="1"/>
  <c r="C26" i="8" s="1"/>
  <c r="K18" i="8"/>
  <c r="K19" i="8" s="1"/>
  <c r="K26" i="8" s="1"/>
  <c r="G18" i="8"/>
  <c r="G19" i="8" s="1"/>
  <c r="G26" i="8" s="1"/>
  <c r="G21" i="7"/>
  <c r="G22" i="7" s="1"/>
  <c r="C21" i="7"/>
  <c r="C22" i="7" s="1"/>
  <c r="P18" i="6"/>
  <c r="P19" i="6" s="1"/>
  <c r="C18" i="6"/>
  <c r="C19" i="6" s="1"/>
  <c r="C26" i="6" s="1"/>
  <c r="G18" i="6"/>
  <c r="G19" i="6" s="1"/>
  <c r="K18" i="6"/>
  <c r="K19" i="6" s="1"/>
  <c r="C20" i="5"/>
  <c r="C21" i="5" s="1"/>
  <c r="C17" i="4"/>
  <c r="C18" i="4" s="1"/>
  <c r="C25" i="4" s="1"/>
  <c r="G18" i="1" l="1"/>
  <c r="G19" i="1" s="1"/>
  <c r="G26" i="1" s="1"/>
  <c r="K21" i="7"/>
  <c r="K2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Kairiša</author>
  </authors>
  <commentList>
    <comment ref="C9" authorId="0" shapeId="0" xr:uid="{D981E160-4FE5-4709-B91A-5182ADC214E3}">
      <text>
        <r>
          <rPr>
            <b/>
            <sz val="9"/>
            <color indexed="81"/>
            <rFont val="Tahoma"/>
            <charset val="1"/>
          </rPr>
          <t>Autors:</t>
        </r>
        <r>
          <rPr>
            <sz val="9"/>
            <color indexed="81"/>
            <rFont val="Tahoma"/>
            <charset val="1"/>
          </rPr>
          <t xml:space="preserve">
Tūrisma informācijas centra konsultante Ainažos 7mēn (no 01.10.-30.04.) Alga 3890 EUR gadā un 5mēn (no 01.05.-30.09.) 5704 EUR gadā</t>
        </r>
      </text>
    </comment>
    <comment ref="G9" authorId="0" shapeId="0" xr:uid="{BCAF5273-F046-4BF2-BC80-6AB7673F6A2A}">
      <text>
        <r>
          <rPr>
            <b/>
            <sz val="9"/>
            <color indexed="81"/>
            <rFont val="Tahoma"/>
            <charset val="1"/>
          </rPr>
          <t>Autors:</t>
        </r>
        <r>
          <rPr>
            <sz val="9"/>
            <color indexed="81"/>
            <rFont val="Tahoma"/>
            <charset val="1"/>
          </rPr>
          <t xml:space="preserve">
Tūrisma informācijas centra konsultante Ainažos 7mēn (no 01.10.-30.04.) Alga 3890 EUR gadā un 5mēn (no 01.05.-30.09.) 5704 EUR gadā</t>
        </r>
      </text>
    </comment>
    <comment ref="C10" authorId="0" shapeId="0" xr:uid="{E2C63207-418D-496E-807C-4FD18A76CBAA}">
      <text>
        <r>
          <rPr>
            <b/>
            <sz val="9"/>
            <color indexed="81"/>
            <rFont val="Tahoma"/>
            <charset val="1"/>
          </rPr>
          <t>Autors:</t>
        </r>
        <r>
          <rPr>
            <sz val="9"/>
            <color indexed="81"/>
            <rFont val="Tahoma"/>
            <charset val="1"/>
          </rPr>
          <t xml:space="preserve">
Tūrisma informācijas centra konsultante Ainažos 7mēn (no 01.10.-30.04.) Alga 3890 EUR gadā un 5mēn (no 01.05.-30.09.) 5704 EUR gadā</t>
        </r>
      </text>
    </comment>
    <comment ref="G10" authorId="0" shapeId="0" xr:uid="{F248C66A-648E-4C49-B902-E1DE89897F4E}">
      <text>
        <r>
          <rPr>
            <b/>
            <sz val="9"/>
            <color indexed="81"/>
            <rFont val="Tahoma"/>
            <charset val="1"/>
          </rPr>
          <t>Autors:</t>
        </r>
        <r>
          <rPr>
            <sz val="9"/>
            <color indexed="81"/>
            <rFont val="Tahoma"/>
            <charset val="1"/>
          </rPr>
          <t xml:space="preserve">
Tūrisma informācijas centra konsultante Ainažos 7mēn (no 01.10.-30.04.) Alga 3890 EUR gadā un 5mēn (no 01.05.-30.09.) 5704 EUR gadā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Kairiša</author>
  </authors>
  <commentList>
    <comment ref="C11" authorId="0" shapeId="0" xr:uid="{F75F75E2-7F53-4A33-9464-AE50AE0B7A33}">
      <text>
        <r>
          <rPr>
            <b/>
            <sz val="9"/>
            <color indexed="81"/>
            <rFont val="Tahoma"/>
            <charset val="1"/>
          </rPr>
          <t>Autors:
Nav zināma pieslēgto iekārtu jauda un elektrības patēriņš, tāpēc paredzēts pieaugums 3,40eur par papildus iekārtu pieslēgšanu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 shapeId="0" xr:uid="{96F638C4-6BFC-435A-9BCD-7E4A3E58A448}">
      <text>
        <r>
          <rPr>
            <b/>
            <sz val="9"/>
            <color indexed="81"/>
            <rFont val="Tahoma"/>
            <charset val="1"/>
          </rPr>
          <t>Autors:
Nav zināma pieslēgto iekārtu jauda un elektrības patēriņš, tāpēc paredzēts pieaugums 0,65eur/h par papildus iekārtu pieslēgšanu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<sst xmlns="http://schemas.openxmlformats.org/spreadsheetml/2006/main" count="467" uniqueCount="101">
  <si>
    <t>Maksas pakalpojuma izcenojuma aprēķins</t>
  </si>
  <si>
    <t>Iestāde, struktūrvienība: Limbažu novada pašvaldības aģentūra "LAUTA"</t>
  </si>
  <si>
    <t>Rādītājs (materiāla/izejvielas, atlīdzība un citi izmaksu veidi)</t>
  </si>
  <si>
    <t>Izmaksu aprēķins</t>
  </si>
  <si>
    <t>Izmaksu apjoms vienai maksas pakalpojuma vienībai</t>
  </si>
  <si>
    <t>Tiešās izmaksas</t>
  </si>
  <si>
    <t>Darba algas un sociālais nodoklis (23,59%)</t>
  </si>
  <si>
    <t>Tiešās izmaksas kopā:</t>
  </si>
  <si>
    <t>Netiešās izmaksas</t>
  </si>
  <si>
    <t>Datortehnikas, materiālu izmantošanas izmaksas</t>
  </si>
  <si>
    <t>Administrācijas izmaksas 10%</t>
  </si>
  <si>
    <t>Netiešās izmaksas kopā:</t>
  </si>
  <si>
    <t>Pakalpojuma izmaksa kopā (BEZ PVN):</t>
  </si>
  <si>
    <t>PVN</t>
  </si>
  <si>
    <t>Cena kopā ar PVN</t>
  </si>
  <si>
    <t>Norāda likuma "Par pievienotās vērtības nodokli" attiecīgo pantu un tā daļu, saskaņā ar kuru maksas pakalpojumam piemēro samazināto pievienotās vērtības nodokļa likmi vai pievienotās vērtības nodokli nepiemēro.</t>
  </si>
  <si>
    <t>Prognozētais maksas pakalpojuma vienību skaits gadā</t>
  </si>
  <si>
    <t>Prognozētie ieņēmumi no pakalpojuma gadā</t>
  </si>
  <si>
    <t>Kārtējā remonta un uzturēšanas materiāli</t>
  </si>
  <si>
    <t>Nolietojuma norma</t>
  </si>
  <si>
    <t>Maksas pakalpojuma veids: Suvenīrmonētas kalšana Limbažos</t>
  </si>
  <si>
    <t>Materiālu izmaksas</t>
  </si>
  <si>
    <t>Monētu sagatave</t>
  </si>
  <si>
    <t>Ūdens izmaksas</t>
  </si>
  <si>
    <t>Elektrības izmaksas</t>
  </si>
  <si>
    <t>Maksas pakalpojuma veids: Airu laivas izsniegšana un pieņemšana (stundā)</t>
  </si>
  <si>
    <t>Maksas pakalpojuma veids: Ūdens velosipēda izsniegšana un pieņemšana (stundā)</t>
  </si>
  <si>
    <t>Maksas pakalpojuma veids: Distanču slēpju komplekta izsniegšana un pieņemšana (stundā)</t>
  </si>
  <si>
    <t>Maksas pakalpojuma veids: Galda tenisa rakešu komplekta (2gab) noma (stundā)</t>
  </si>
  <si>
    <t>Maksas pakalpojuma veids: SUP dēļa noma (stundā)</t>
  </si>
  <si>
    <t>Nolietojuma norma gadā/plānotais vienību skaits</t>
  </si>
  <si>
    <t>Finanšu nodaļas izmaksas, pārskaitījumu veikšana, uzskaite, maksājumu saņemšana</t>
  </si>
  <si>
    <t>Rādītājs(materiāla/izejvielas, atlīdzība un citi izmaksu veidi)</t>
  </si>
  <si>
    <t>Apkures izmaksas</t>
  </si>
  <si>
    <t>Ūdens un kanalizācijas izmaksas</t>
  </si>
  <si>
    <t>Nolietojums</t>
  </si>
  <si>
    <t>Maksas pakalpojuma veids: Burtnieku kvartāla noma (Burtnieku 2, Limbažos) publiskiem, iepriekš saskaņotiem pasākumiem bez elektrības (1 stunda)</t>
  </si>
  <si>
    <t>Maksas pakalpojuma veids: Burtnieku kvartāla noma (Burtnieku 2, Limbažos) publiskiem, iepriekš saskaņotiem pasākumiem ar elektrību (1 stunda)</t>
  </si>
  <si>
    <t>Maksas pakalpojuma veids: Laukuma vietas nomas maksa par 1m2 (Burtnieku 2, Limbažos)</t>
  </si>
  <si>
    <t>Plānotās elektrības izmaksas 1h*1,7pieaugums</t>
  </si>
  <si>
    <t>Aprēķinu sagatavoja: Evija Kairiša</t>
  </si>
  <si>
    <t>Iestādes vadītājs: Lauma Dūmiņa</t>
  </si>
  <si>
    <t xml:space="preserve">Apkopējas atalgojums 6830 eur gadā/997 darba stundas (0,5 slodze), 30 minūtes telpu uzkopšanai </t>
  </si>
  <si>
    <t>Ūdens un kanalizācijas izmaksas, attiecināmās izmaksas</t>
  </si>
  <si>
    <t>Saimniecības preces</t>
  </si>
  <si>
    <t>Higiēnas preces,uzkopšanas līdzekļi, attiecināmās izmaksas</t>
  </si>
  <si>
    <t xml:space="preserve">Apkopējas atalgojums 6830 eur gadā/997 darba stundas (0,5 slodze), 20 minūtes telpu uzkopšanai </t>
  </si>
  <si>
    <t>LAUTAS direktores un tūrisma informācijas konsultanta vidējais atalgojums 1 stunda darba izmaksas*telpas ierādīšanai, vienošanās noformēšanai, patērētā laiks 5 minūtes</t>
  </si>
  <si>
    <r>
      <t>Telpas siltuma izmaksas 6492/377,2 m2 (ēkas kopējie m2)*2,8m</t>
    </r>
    <r>
      <rPr>
        <vertAlign val="super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 (telpa, kur atrodas duša)/1994 darba stundas gadā</t>
    </r>
  </si>
  <si>
    <t>1 kwh boilera uzsildīšana 0,20 EUR + apgaismojums 0,05 EUR</t>
  </si>
  <si>
    <t>Materiāli telpu uzkopšanai un higiēnai</t>
  </si>
  <si>
    <t>Tīrīšanas līdzekļi, attiecināmās izmaksas</t>
  </si>
  <si>
    <t>Apkopējas atalgojums 6830 eur gadā/997 darba stundas (0,5 slodze), 10 min, uzkopšana pēc katra apmeklējuma, klienta ielaišana, pavadīšana</t>
  </si>
  <si>
    <r>
      <t>Elektrības izmaksas visai Burtnieku 2 izmantotajai platībai ir 2258 eur gadā/377,2 m2 ēkas kopējā platība/250 darba dienas gadā*izmantotā platība 35,5</t>
    </r>
    <r>
      <rPr>
        <sz val="10"/>
        <color theme="1"/>
        <rFont val="Times New Roman"/>
        <family val="1"/>
        <charset val="186"/>
      </rPr>
      <t>m2+6,3m2 wc(kolpietošanas telpas), kopā 41,8m2</t>
    </r>
  </si>
  <si>
    <t>Apkures izmaksas gadā 6492 eur Burtnieku 2 LAUTA izmantotajai platībai/377,2m2 kopējā platība/250 darba dienas gadā*41,8m2 (Semināra telpas platība 35,5m2+6,3m2 wc kolpietošanas telpas)</t>
  </si>
  <si>
    <t xml:space="preserve">Platība </t>
  </si>
  <si>
    <t>m2</t>
  </si>
  <si>
    <t xml:space="preserve">Nolietojums gadā </t>
  </si>
  <si>
    <t>EUR</t>
  </si>
  <si>
    <t>Pamatlīdzekļu uzskaites kartiņa Nr. 005946</t>
  </si>
  <si>
    <t>Noapaļot uz 24,00 EUR</t>
  </si>
  <si>
    <r>
      <t>Elektrības izmaksas visai Burtnieku 2 izmantotajai platībai ir 2258 eur gadā/377,2 m2 kopējā ēkas platība/1994 darba stundas gadā* izmantotā platība 35,5</t>
    </r>
    <r>
      <rPr>
        <sz val="10"/>
        <color theme="1"/>
        <rFont val="Times New Roman"/>
        <family val="1"/>
        <charset val="186"/>
      </rPr>
      <t>m2</t>
    </r>
    <r>
      <rPr>
        <sz val="10"/>
        <color rgb="FF000000"/>
        <rFont val="Times New Roman"/>
        <family val="1"/>
        <charset val="186"/>
      </rPr>
      <t>+6,3wc (kolpietošanas telpas), kopā 41,8m2</t>
    </r>
  </si>
  <si>
    <t>Apkures izmaksas gadā 6492 eur Burtnieku 2 LAUTA izmantotajai platībai/377,2m2 kopējā platība/1994 darba stundas gadā*41,8m2 (Semināra telpas platība 35,5m2+kolpietošanas telpas 6,3m2)</t>
  </si>
  <si>
    <t>Ēkas nolietojuma summa mēnesī 533,70 eur/kopējā ēkas platība 377,2*izmantotā platība 35,5m2+kolpietošanas telpas, kopā 41,8m2/166 darba stundas mēnesī</t>
  </si>
  <si>
    <t>Noapaļot uz 8,50 EUR</t>
  </si>
  <si>
    <t>Apkures izmaksas gadā 6492 eur Burtnieku 2 LAUTA izmantotajai platībai/377,2m2 kopējā platība/1994 darba stundas gadā*20m2 virtuves platība+6,3m2 wc (kolpietošanas telpas) kopā 26,3m2</t>
  </si>
  <si>
    <t xml:space="preserve">Elektrības izmaksas visai Burtnieku 2 izmantotajai platībai ir  2258 eur gadā/377,2 m2 kopējā ēkas platība/1994 darba stundas gadā* izmantotā platība 20m2+6,3m2 wc (koplietošanas telpas)+3,1 eur virtuves elektrisko iekārtu izmantošana </t>
  </si>
  <si>
    <t xml:space="preserve">LAUTAS direktores un tūrisma informācijas konsultanta vidējais atalgojums 1 stunda darba izmaksas/60*5 minūtes patērētais laiks vietas ierādīšanai </t>
  </si>
  <si>
    <t>Atkritumu savākšana</t>
  </si>
  <si>
    <t>Atkritumu savākšana, sakopjot tirdzniecības vietu, attiecināmās izmaksas</t>
  </si>
  <si>
    <t>LAUTAS direktores un tūrisma informācijas konsultanta vidējais atalgojums 1 stunda darba izmaksas* 5 minūtes patērētā laiks sagatavošanās kalšanai</t>
  </si>
  <si>
    <t xml:space="preserve">1 mazgāšanās ciklā patērējas aptuveni 50 litri ūdens (1m3 ūdens izmaksas 1,58eur + kanalizācijas izmaksas 2,76 EUR = 4,34 EUR, kopā 50/1000=0,05m3*4,34=0,22) </t>
  </si>
  <si>
    <t>Dežuranta atalgojums gadā 4844 eur/675 darba stundas 4 mēnešos/60*16min airu laivu izsniegšana, pieņemšana</t>
  </si>
  <si>
    <t>Dežuranta atalgojums gadā 4844 eur/675 darba stundas 4 mēnešos/60*16min ūdens velosipēdu izsniegšana, pieņemšana</t>
  </si>
  <si>
    <t>Dežuranta atalgojums gadā 4844 eur/675 darba stundas 4 mēnešos/60*16min distanču slēpju komplekta izsniegšana, pieņemšana</t>
  </si>
  <si>
    <t>Dežuranta atalgojums gadā 4844 eur/675 darba stundas 4 mēnešos/60*10min galda tenisa rakešu izsniegšana, pieņemšana</t>
  </si>
  <si>
    <t>Dežuranta atalgojums gadā 4844 eur/675 darba stundas 4 mēnešos/60*20min SUP dēļa izsniegšana, pieņemšana, informācijas</t>
  </si>
  <si>
    <t>Remontmateriāli, attiecināmās izmaksas</t>
  </si>
  <si>
    <t>Uzturēšanas, labošanas materiāli, attiecināmās izmaksas</t>
  </si>
  <si>
    <t>Slēpju sagatavošana, materiāli slēpju apstrādāšanai, attiecināmās izmaksas</t>
  </si>
  <si>
    <t xml:space="preserve">Ēkas nolietojuma summa mēnesī  533,70 eur/kopējā ēkas platība 377,2*izmantotā platība 20m2+kolpietošanas telpas kopā 26,3m2)/166 darba stundas mēnesī </t>
  </si>
  <si>
    <t>Datums: 10.06.2026.</t>
  </si>
  <si>
    <t xml:space="preserve">Sētnieka atalgojums gadā 12055 EUR/1994 darba stundas gadā*2 stundas teritorijas uzkopšanai </t>
  </si>
  <si>
    <t xml:space="preserve">LAUTAS direktores un tūrisma informācijas konsultanta vidējais atalgojums 1 stunda darba izmaksas/60*30 minūtes patērētais laiks vienošanās noformēšanai, vietas ierādīšanai </t>
  </si>
  <si>
    <t>Maksas pakalpojuma veids: Gida pakalpojums (latviešu valodā)</t>
  </si>
  <si>
    <t>Maksas pakalpojuma veids: Gida pakalpojums (svešvalodā)</t>
  </si>
  <si>
    <t xml:space="preserve">Maksas pakalpojuma veids: Gida pakalpojumi iepriekš pasūtītai tematiskai ekskursijai </t>
  </si>
  <si>
    <t>Materiāli programmas sagatavošanai</t>
  </si>
  <si>
    <t>Materiāli ekskursijas sagatavošanai</t>
  </si>
  <si>
    <t>Materiāli ekskursijas sagatavošanai, attiecināmās izmaksas</t>
  </si>
  <si>
    <t>Staiceles tūrisma informācijas centra vadītājas 1 stundas darba izmaksas</t>
  </si>
  <si>
    <t xml:space="preserve">Vidēji nepieciešama 1,25 stundas interneta nodrošinājums, interneta maksa mēnesī 12,10 EUR, datortehnikas nolietojums gadā 114,72 EUR, 1 stunda elektroenerģijas izmaksas portatīvam datoram </t>
  </si>
  <si>
    <t xml:space="preserve">1 stundas ekskursijas vadīšana*tūrisma informācijas centru konsultantu, LAUTAS direktores un tūrisma informācijas centra vadītāju vidējās 1 stundas darba izmaksas </t>
  </si>
  <si>
    <t>Sagatavošanās ekskursijas vadīšanai 1 stunda* LAUTAS direktores, tūrisma informācijas centru konsultantu un tūrisma informācijas centra vadītāju vidējā 1 stundas darba izmaksas</t>
  </si>
  <si>
    <t>1 stundas ekskursijas vadīšana*tūrisma informācijas centru konsultantu, LAUTAS direktores un tūrisma informācijas centra vadītāju vidējās 1 stundas darba izmaksas</t>
  </si>
  <si>
    <t>Sagatavošanās ekskursijas vadīšanai 1,3 stundas* LAUTAS direktores, tūrisma informācijas centru konsultantu un tūrisma informācijas centra vadītāju vidējā 1 stundas darba izmaksas</t>
  </si>
  <si>
    <t xml:space="preserve">Staiceles tūrisma informācijas centra vadītājas darba alga gadā/1994 darba stundas gadā*1h patērētais laiks sagatavošanās ekskursijas vadīšanai </t>
  </si>
  <si>
    <t>Maksas pakalpojuma veids: Semināra telpas nomas maksa (35,50m2), Burtnieku 2, Limbažos (1 diena). Iespēja izmantot kā 4 darba vietas.</t>
  </si>
  <si>
    <t>Maksas pakalpojuma veids: Semināra telpas nomas maksa (35,50m2), Burtnieku 2, Limbažos (1 stunda)</t>
  </si>
  <si>
    <t>Maksas pakalpojuma veids: Virtuves telpas nomas maksa (20m2), Burtnieku 2, Limbažos (1 stunda)</t>
  </si>
  <si>
    <t>Maksas pakalpojuma veids: Maksa par dušas pakalpojumu (45 min), Burtnieku 2, Limbažos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</si>
</sst>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_-[$€-426]\ * #,##0.00_-;\-[$€-426]\ * #,##0.00_-;_-[$€-426]\ * &quot;-&quot;??_-;_-@_-"/>
    <numFmt numFmtId="166" formatCode="&quot; &quot;[$Ls-426]&quot; &quot;#,##0.00&quot; &quot;;&quot;-&quot;[$Ls-426]&quot; &quot;#,##0.00&quot; &quot;;&quot; &quot;[$Ls-426]&quot; -&quot;00&quot; &quot;;&quot; &quot;@&quot; &quot;"/>
    <numFmt numFmtId="167" formatCode="&quot; &quot;[$€-426]&quot; &quot;#,##0.00&quot; &quot;;&quot;-&quot;[$€-426]&quot; &quot;#,##0.00&quot; &quot;;&quot; &quot;[$€-426]&quot; -&quot;00&quot; &quot;;&quot; &quot;@&quot; &quot;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2"/>
      <name val="Calibri"/>
      <family val="2"/>
      <charset val="186"/>
    </font>
    <font>
      <b/>
      <sz val="12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FFFF99"/>
      </patternFill>
    </fill>
    <fill>
      <patternFill patternType="solid">
        <fgColor rgb="FFFFFF99"/>
        <bgColor rgb="FFFFFF9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5" fontId="8" fillId="0" borderId="0"/>
    <xf numFmtId="0" fontId="8" fillId="0" borderId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ont="0" applyBorder="0" applyProtection="0"/>
  </cellStyleXfs>
  <cellXfs count="9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left"/>
    </xf>
    <xf numFmtId="0" fontId="11" fillId="0" borderId="1" xfId="0" applyFont="1" applyBorder="1"/>
    <xf numFmtId="0" fontId="12" fillId="0" borderId="0" xfId="0" applyFont="1" applyAlignment="1">
      <alignment vertical="center"/>
    </xf>
    <xf numFmtId="0" fontId="13" fillId="0" borderId="5" xfId="0" applyFont="1" applyBorder="1" applyAlignment="1">
      <alignment horizontal="center"/>
    </xf>
    <xf numFmtId="0" fontId="8" fillId="0" borderId="0" xfId="3"/>
    <xf numFmtId="0" fontId="18" fillId="0" borderId="0" xfId="3" applyFont="1"/>
    <xf numFmtId="0" fontId="19" fillId="0" borderId="0" xfId="3" applyFont="1" applyAlignment="1">
      <alignment vertical="center"/>
    </xf>
    <xf numFmtId="0" fontId="20" fillId="0" borderId="0" xfId="3" applyFont="1"/>
    <xf numFmtId="0" fontId="17" fillId="0" borderId="4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6" fillId="0" borderId="7" xfId="3" applyFont="1" applyBorder="1" applyAlignment="1">
      <alignment vertical="center" wrapText="1"/>
    </xf>
    <xf numFmtId="0" fontId="19" fillId="0" borderId="8" xfId="3" applyFont="1" applyBorder="1" applyAlignment="1">
      <alignment horizontal="center" vertical="center" wrapText="1"/>
    </xf>
    <xf numFmtId="166" fontId="19" fillId="0" borderId="3" xfId="4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4" fontId="7" fillId="0" borderId="3" xfId="4" applyNumberFormat="1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10" fontId="19" fillId="0" borderId="4" xfId="3" applyNumberFormat="1" applyFont="1" applyBorder="1" applyAlignment="1">
      <alignment horizontal="center" vertical="center" wrapText="1"/>
    </xf>
    <xf numFmtId="164" fontId="19" fillId="0" borderId="9" xfId="4" applyNumberFormat="1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164" fontId="7" fillId="0" borderId="4" xfId="4" applyNumberFormat="1" applyFont="1" applyBorder="1" applyAlignment="1">
      <alignment horizontal="center" vertical="center" wrapText="1"/>
    </xf>
    <xf numFmtId="0" fontId="16" fillId="0" borderId="4" xfId="3" applyFont="1" applyBorder="1" applyAlignment="1">
      <alignment vertical="center" wrapText="1"/>
    </xf>
    <xf numFmtId="164" fontId="19" fillId="0" borderId="4" xfId="4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21" fillId="0" borderId="4" xfId="3" applyFont="1" applyBorder="1" applyAlignment="1">
      <alignment horizontal="center"/>
    </xf>
    <xf numFmtId="164" fontId="21" fillId="0" borderId="4" xfId="4" applyNumberFormat="1" applyFont="1" applyBorder="1" applyAlignment="1">
      <alignment horizontal="center"/>
    </xf>
    <xf numFmtId="0" fontId="16" fillId="0" borderId="0" xfId="3" applyFont="1" applyAlignment="1">
      <alignment horizontal="center" vertical="center"/>
    </xf>
    <xf numFmtId="164" fontId="19" fillId="0" borderId="7" xfId="4" applyNumberFormat="1" applyFont="1" applyBorder="1" applyAlignment="1">
      <alignment horizontal="center" vertical="center" wrapText="1"/>
    </xf>
    <xf numFmtId="0" fontId="2" fillId="0" borderId="0" xfId="0" applyFont="1"/>
    <xf numFmtId="0" fontId="16" fillId="2" borderId="4" xfId="6" applyFont="1" applyFill="1" applyBorder="1" applyAlignment="1">
      <alignment horizontal="right" vertical="center" wrapText="1"/>
    </xf>
    <xf numFmtId="0" fontId="19" fillId="2" borderId="4" xfId="6" applyFont="1" applyFill="1" applyBorder="1" applyAlignment="1">
      <alignment horizontal="center" vertical="center" wrapText="1"/>
    </xf>
    <xf numFmtId="167" fontId="22" fillId="2" borderId="4" xfId="4" applyNumberFormat="1" applyFont="1" applyFill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167" fontId="19" fillId="0" borderId="4" xfId="4" applyNumberFormat="1" applyFont="1" applyFill="1" applyBorder="1" applyAlignment="1">
      <alignment horizontal="center" vertical="center" wrapText="1"/>
    </xf>
    <xf numFmtId="0" fontId="16" fillId="3" borderId="9" xfId="6" applyFont="1" applyFill="1" applyBorder="1" applyAlignment="1">
      <alignment horizontal="right" vertical="center" wrapText="1"/>
    </xf>
    <xf numFmtId="0" fontId="16" fillId="3" borderId="9" xfId="6" applyFont="1" applyFill="1" applyBorder="1" applyAlignment="1">
      <alignment horizontal="center" vertical="center" wrapText="1"/>
    </xf>
    <xf numFmtId="167" fontId="17" fillId="3" borderId="9" xfId="4" applyNumberFormat="1" applyFont="1" applyFill="1" applyBorder="1" applyAlignment="1">
      <alignment horizontal="center" vertical="center" wrapText="1"/>
    </xf>
    <xf numFmtId="0" fontId="16" fillId="3" borderId="4" xfId="6" applyFont="1" applyFill="1" applyBorder="1" applyAlignment="1">
      <alignment horizontal="right" vertical="center" wrapText="1"/>
    </xf>
    <xf numFmtId="9" fontId="16" fillId="3" borderId="4" xfId="6" applyNumberFormat="1" applyFont="1" applyFill="1" applyBorder="1" applyAlignment="1">
      <alignment horizontal="center" vertical="center" wrapText="1"/>
    </xf>
    <xf numFmtId="167" fontId="17" fillId="3" borderId="4" xfId="4" applyNumberFormat="1" applyFont="1" applyFill="1" applyBorder="1" applyAlignment="1">
      <alignment horizontal="center" vertical="center" wrapText="1"/>
    </xf>
    <xf numFmtId="0" fontId="16" fillId="3" borderId="4" xfId="6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5" fillId="0" borderId="3" xfId="1" applyNumberFormat="1" applyFont="1" applyBorder="1" applyAlignment="1">
      <alignment vertical="center" wrapText="1"/>
    </xf>
    <xf numFmtId="164" fontId="19" fillId="0" borderId="3" xfId="4" applyNumberFormat="1" applyFont="1" applyBorder="1" applyAlignment="1">
      <alignment vertical="center" wrapText="1"/>
    </xf>
    <xf numFmtId="0" fontId="19" fillId="0" borderId="3" xfId="6" applyFont="1" applyBorder="1" applyAlignment="1">
      <alignment horizontal="center" vertical="center" wrapText="1"/>
    </xf>
    <xf numFmtId="9" fontId="16" fillId="3" borderId="4" xfId="5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0" fontId="7" fillId="0" borderId="4" xfId="3" applyNumberFormat="1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167" fontId="7" fillId="0" borderId="4" xfId="4" applyNumberFormat="1" applyFont="1" applyFill="1" applyBorder="1" applyAlignment="1">
      <alignment horizontal="center" vertical="center" wrapText="1"/>
    </xf>
    <xf numFmtId="167" fontId="19" fillId="0" borderId="13" xfId="4" applyNumberFormat="1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16" fillId="2" borderId="9" xfId="6" applyFont="1" applyFill="1" applyBorder="1" applyAlignment="1">
      <alignment horizontal="right" vertical="center" wrapText="1"/>
    </xf>
    <xf numFmtId="0" fontId="19" fillId="2" borderId="9" xfId="6" applyFont="1" applyFill="1" applyBorder="1" applyAlignment="1">
      <alignment horizontal="center" vertical="center" wrapText="1"/>
    </xf>
    <xf numFmtId="167" fontId="19" fillId="0" borderId="7" xfId="4" applyNumberFormat="1" applyFont="1" applyFill="1" applyBorder="1" applyAlignment="1">
      <alignment horizontal="center" vertical="center" wrapText="1"/>
    </xf>
    <xf numFmtId="167" fontId="22" fillId="2" borderId="9" xfId="4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7" fillId="0" borderId="4" xfId="3" applyFont="1" applyBorder="1" applyAlignment="1">
      <alignment vertical="center" wrapText="1"/>
    </xf>
    <xf numFmtId="0" fontId="19" fillId="0" borderId="0" xfId="3" applyFont="1" applyAlignment="1">
      <alignment horizontal="left" vertical="center" wrapText="1"/>
    </xf>
    <xf numFmtId="0" fontId="8" fillId="0" borderId="4" xfId="3" applyBorder="1"/>
    <xf numFmtId="0" fontId="17" fillId="0" borderId="6" xfId="3" applyFont="1" applyBorder="1" applyAlignment="1">
      <alignment horizontal="left" vertical="center" wrapText="1"/>
    </xf>
    <xf numFmtId="0" fontId="16" fillId="0" borderId="0" xfId="3" applyFont="1" applyAlignment="1">
      <alignment horizontal="right" vertical="center"/>
    </xf>
    <xf numFmtId="0" fontId="17" fillId="0" borderId="0" xfId="3" applyFont="1" applyAlignment="1">
      <alignment horizontal="center" vertical="center"/>
    </xf>
    <xf numFmtId="164" fontId="7" fillId="0" borderId="9" xfId="4" applyNumberFormat="1" applyFont="1" applyBorder="1" applyAlignment="1">
      <alignment horizontal="center" vertical="center" wrapText="1"/>
    </xf>
  </cellXfs>
  <cellStyles count="7">
    <cellStyle name="Normal 2" xfId="2" xr:uid="{012DD54E-7695-414F-9021-D41ED873E77A}"/>
    <cellStyle name="Parasts" xfId="0" builtinId="0"/>
    <cellStyle name="Parasts 2" xfId="6" xr:uid="{F5E75F7C-747F-4F86-8702-81397CE98182}"/>
    <cellStyle name="Parasts 3" xfId="3" xr:uid="{667B2EE5-1806-4671-A19C-682399163454}"/>
    <cellStyle name="Procenti" xfId="5" builtinId="5"/>
    <cellStyle name="Valūta" xfId="1" builtinId="4"/>
    <cellStyle name="Valūta 2" xfId="4" xr:uid="{51367FC7-6A28-427B-AE90-F349FCFA9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CC31-AE44-4ECF-BCC3-DBE650E073A7}">
  <dimension ref="A1:K31"/>
  <sheetViews>
    <sheetView tabSelected="1" workbookViewId="0">
      <selection activeCell="K14" sqref="K14"/>
    </sheetView>
  </sheetViews>
  <sheetFormatPr defaultRowHeight="15" outlineLevelRow="1" x14ac:dyDescent="0.25"/>
  <cols>
    <col min="1" max="1" width="20.28515625" customWidth="1"/>
    <col min="2" max="2" width="38.28515625" customWidth="1"/>
    <col min="3" max="3" width="18.42578125" customWidth="1"/>
    <col min="4" max="4" width="7.5703125" customWidth="1"/>
    <col min="5" max="5" width="24" customWidth="1"/>
    <col min="6" max="6" width="34.85546875" customWidth="1"/>
    <col min="7" max="7" width="25.7109375" customWidth="1"/>
    <col min="9" max="9" width="21.28515625" customWidth="1"/>
    <col min="10" max="10" width="41.140625" customWidth="1"/>
    <col min="11" max="11" width="21.28515625" customWidth="1"/>
  </cols>
  <sheetData>
    <row r="1" spans="1:11" x14ac:dyDescent="0.25">
      <c r="A1" s="80"/>
      <c r="B1" s="80"/>
      <c r="C1" s="80"/>
      <c r="E1" s="80"/>
      <c r="F1" s="80"/>
      <c r="G1" s="80"/>
      <c r="I1" s="80"/>
      <c r="J1" s="80"/>
      <c r="K1" s="80"/>
    </row>
    <row r="2" spans="1:11" ht="15.75" x14ac:dyDescent="0.25">
      <c r="A2" s="81" t="s">
        <v>0</v>
      </c>
      <c r="B2" s="81"/>
      <c r="C2" s="81"/>
      <c r="E2" s="81" t="s">
        <v>0</v>
      </c>
      <c r="F2" s="81"/>
      <c r="G2" s="81"/>
      <c r="I2" s="81" t="s">
        <v>0</v>
      </c>
      <c r="J2" s="81"/>
      <c r="K2" s="81"/>
    </row>
    <row r="3" spans="1:11" ht="15.75" x14ac:dyDescent="0.25">
      <c r="A3" s="82" t="s">
        <v>1</v>
      </c>
      <c r="B3" s="82"/>
      <c r="C3" s="82"/>
      <c r="E3" s="82" t="s">
        <v>1</v>
      </c>
      <c r="F3" s="82"/>
      <c r="G3" s="82"/>
      <c r="I3" s="82" t="s">
        <v>1</v>
      </c>
      <c r="J3" s="82"/>
      <c r="K3" s="82"/>
    </row>
    <row r="4" spans="1:11" s="43" customFormat="1" ht="15.75" x14ac:dyDescent="0.25">
      <c r="A4" s="83" t="s">
        <v>84</v>
      </c>
      <c r="B4" s="83"/>
      <c r="C4" s="83"/>
      <c r="E4" s="83" t="s">
        <v>85</v>
      </c>
      <c r="F4" s="83"/>
      <c r="G4" s="83"/>
      <c r="I4" s="83" t="s">
        <v>86</v>
      </c>
      <c r="J4" s="83"/>
      <c r="K4" s="83"/>
    </row>
    <row r="5" spans="1:11" x14ac:dyDescent="0.25">
      <c r="A5" s="1"/>
      <c r="B5" s="2"/>
      <c r="C5" s="2"/>
      <c r="E5" s="1"/>
      <c r="F5" s="2"/>
      <c r="G5" s="2"/>
      <c r="I5" s="1"/>
      <c r="J5" s="2"/>
      <c r="K5" s="2"/>
    </row>
    <row r="6" spans="1:11" ht="63" x14ac:dyDescent="0.25">
      <c r="A6" s="3" t="s">
        <v>2</v>
      </c>
      <c r="B6" s="3" t="s">
        <v>3</v>
      </c>
      <c r="C6" s="3" t="s">
        <v>4</v>
      </c>
      <c r="E6" s="3" t="s">
        <v>2</v>
      </c>
      <c r="F6" s="3" t="s">
        <v>3</v>
      </c>
      <c r="G6" s="3" t="s">
        <v>4</v>
      </c>
      <c r="I6" s="3" t="s">
        <v>2</v>
      </c>
      <c r="J6" s="3" t="s">
        <v>3</v>
      </c>
      <c r="K6" s="3" t="s">
        <v>4</v>
      </c>
    </row>
    <row r="7" spans="1:11" x14ac:dyDescent="0.25">
      <c r="A7" s="4">
        <v>1</v>
      </c>
      <c r="B7" s="4">
        <v>2</v>
      </c>
      <c r="C7" s="4">
        <v>3</v>
      </c>
      <c r="E7" s="4">
        <v>1</v>
      </c>
      <c r="F7" s="4">
        <v>2</v>
      </c>
      <c r="G7" s="4">
        <v>3</v>
      </c>
      <c r="I7" s="4">
        <v>1</v>
      </c>
      <c r="J7" s="4">
        <v>2</v>
      </c>
      <c r="K7" s="4">
        <v>3</v>
      </c>
    </row>
    <row r="8" spans="1:11" x14ac:dyDescent="0.25">
      <c r="A8" s="5" t="s">
        <v>5</v>
      </c>
      <c r="B8" s="4"/>
      <c r="C8" s="6"/>
      <c r="E8" s="5" t="s">
        <v>5</v>
      </c>
      <c r="F8" s="4"/>
      <c r="G8" s="6"/>
      <c r="I8" s="5" t="s">
        <v>5</v>
      </c>
      <c r="J8" s="4"/>
      <c r="K8" s="6"/>
    </row>
    <row r="9" spans="1:11" ht="51" x14ac:dyDescent="0.25">
      <c r="A9" s="47" t="s">
        <v>6</v>
      </c>
      <c r="B9" s="48" t="s">
        <v>92</v>
      </c>
      <c r="C9" s="49">
        <f>ROUND((((12971+17780+17780+30448)/1994)+((3890/1155)+(5704/839))/2)/5,2)</f>
        <v>8.94</v>
      </c>
      <c r="D9" s="7"/>
      <c r="E9" s="47" t="s">
        <v>6</v>
      </c>
      <c r="F9" s="48" t="s">
        <v>94</v>
      </c>
      <c r="G9" s="49">
        <f>ROUND((((12971+17780+17780+30448)/1994)+((3890/1155)+(5704/839))/2)/5,2)</f>
        <v>8.94</v>
      </c>
      <c r="I9" s="47" t="s">
        <v>6</v>
      </c>
      <c r="J9" s="48" t="s">
        <v>90</v>
      </c>
      <c r="K9" s="49">
        <f>ROUND(17780/1994,2)</f>
        <v>8.92</v>
      </c>
    </row>
    <row r="10" spans="1:11" ht="63.75" x14ac:dyDescent="0.25">
      <c r="A10" s="47" t="s">
        <v>6</v>
      </c>
      <c r="B10" s="48" t="s">
        <v>93</v>
      </c>
      <c r="C10" s="49">
        <f>ROUND((((12971+17780+17780+30448)/1994)+((3890/1155)+(5704/839))/2)/5,2)</f>
        <v>8.94</v>
      </c>
      <c r="D10" s="7"/>
      <c r="E10" s="47" t="s">
        <v>6</v>
      </c>
      <c r="F10" s="48" t="s">
        <v>95</v>
      </c>
      <c r="G10" s="49">
        <f>ROUND(((((12971+17780+17780+30448)/1994)+((3890/1155)+(5704/839))/2)/5)*1.3,2)</f>
        <v>11.62</v>
      </c>
      <c r="I10" s="47" t="s">
        <v>6</v>
      </c>
      <c r="J10" s="48" t="s">
        <v>96</v>
      </c>
      <c r="K10" s="49">
        <f>ROUND(17780/1994,2)</f>
        <v>8.92</v>
      </c>
    </row>
    <row r="11" spans="1:11" ht="25.5" x14ac:dyDescent="0.25">
      <c r="A11" s="47" t="s">
        <v>88</v>
      </c>
      <c r="B11" s="48" t="s">
        <v>89</v>
      </c>
      <c r="C11" s="49">
        <v>0.14000000000000001</v>
      </c>
      <c r="D11" s="7"/>
      <c r="E11" s="47" t="s">
        <v>88</v>
      </c>
      <c r="F11" s="48" t="s">
        <v>89</v>
      </c>
      <c r="G11" s="49">
        <f>2</f>
        <v>2</v>
      </c>
      <c r="I11" s="47" t="s">
        <v>87</v>
      </c>
      <c r="J11" s="48" t="s">
        <v>87</v>
      </c>
      <c r="K11" s="49">
        <f>4.72</f>
        <v>4.72</v>
      </c>
    </row>
    <row r="12" spans="1:11" x14ac:dyDescent="0.25">
      <c r="A12" s="44" t="s">
        <v>7</v>
      </c>
      <c r="B12" s="45"/>
      <c r="C12" s="46">
        <f>SUM(C8:C11)</f>
        <v>18.02</v>
      </c>
      <c r="E12" s="44" t="s">
        <v>7</v>
      </c>
      <c r="F12" s="45"/>
      <c r="G12" s="46">
        <f>SUM(G8:G11)</f>
        <v>22.56</v>
      </c>
      <c r="I12" s="44" t="s">
        <v>7</v>
      </c>
      <c r="J12" s="45"/>
      <c r="K12" s="46">
        <f>SUM(K8:K11)</f>
        <v>22.56</v>
      </c>
    </row>
    <row r="13" spans="1:11" x14ac:dyDescent="0.25">
      <c r="A13" s="5" t="s">
        <v>8</v>
      </c>
      <c r="B13" s="8"/>
      <c r="C13" s="8"/>
      <c r="E13" s="5" t="s">
        <v>8</v>
      </c>
      <c r="F13" s="8"/>
      <c r="G13" s="8"/>
      <c r="I13" s="5" t="s">
        <v>8</v>
      </c>
      <c r="J13" s="8"/>
      <c r="K13" s="8"/>
    </row>
    <row r="14" spans="1:11" ht="63.75" x14ac:dyDescent="0.25">
      <c r="A14" s="47" t="s">
        <v>9</v>
      </c>
      <c r="B14" s="48" t="s">
        <v>91</v>
      </c>
      <c r="C14" s="69">
        <f>ROUND((12.1/166*1.25)+(114.72/1994)+0.03,2)</f>
        <v>0.18</v>
      </c>
      <c r="E14" s="47" t="s">
        <v>9</v>
      </c>
      <c r="F14" s="48" t="s">
        <v>91</v>
      </c>
      <c r="G14" s="69">
        <f>ROUND((12.1/166*1.25)+(114.72/1994)+0.03,2)</f>
        <v>0.18</v>
      </c>
      <c r="I14" s="47" t="s">
        <v>9</v>
      </c>
      <c r="J14" s="48" t="s">
        <v>91</v>
      </c>
      <c r="K14" s="69">
        <f>ROUND((114.72/1994)+(12.1/166*1.25)+0.03,2)</f>
        <v>0.18</v>
      </c>
    </row>
    <row r="15" spans="1:11" ht="25.5" x14ac:dyDescent="0.25">
      <c r="A15" s="47" t="s">
        <v>10</v>
      </c>
      <c r="B15" s="48" t="s">
        <v>31</v>
      </c>
      <c r="C15" s="49">
        <f>C12*0.1</f>
        <v>1.802</v>
      </c>
      <c r="E15" s="47" t="s">
        <v>10</v>
      </c>
      <c r="F15" s="48" t="s">
        <v>31</v>
      </c>
      <c r="G15" s="49">
        <f>G12*0.1</f>
        <v>2.2559999999999998</v>
      </c>
      <c r="I15" s="47" t="s">
        <v>10</v>
      </c>
      <c r="J15" s="48" t="s">
        <v>31</v>
      </c>
      <c r="K15" s="49">
        <f>K12*0.1</f>
        <v>2.2559999999999998</v>
      </c>
    </row>
    <row r="16" spans="1:11" ht="25.5" x14ac:dyDescent="0.25">
      <c r="A16" s="44" t="s">
        <v>11</v>
      </c>
      <c r="B16" s="45"/>
      <c r="C16" s="46">
        <f>SUM(C13:C15)</f>
        <v>1.982</v>
      </c>
      <c r="E16" s="44" t="s">
        <v>11</v>
      </c>
      <c r="F16" s="45"/>
      <c r="G16" s="46">
        <f>SUM(G14:G15)</f>
        <v>2.4359999999999999</v>
      </c>
      <c r="I16" s="44" t="s">
        <v>11</v>
      </c>
      <c r="J16" s="45"/>
      <c r="K16" s="46">
        <f>SUM(K13:K15)</f>
        <v>2.4359999999999999</v>
      </c>
    </row>
    <row r="17" spans="1:11" ht="25.5" x14ac:dyDescent="0.25">
      <c r="A17" s="50" t="s">
        <v>12</v>
      </c>
      <c r="B17" s="51"/>
      <c r="C17" s="52">
        <f>C12+C16</f>
        <v>20.001999999999999</v>
      </c>
      <c r="E17" s="50" t="s">
        <v>12</v>
      </c>
      <c r="F17" s="51"/>
      <c r="G17" s="52">
        <f>G12+G16</f>
        <v>24.995999999999999</v>
      </c>
      <c r="I17" s="50" t="s">
        <v>12</v>
      </c>
      <c r="J17" s="51"/>
      <c r="K17" s="52">
        <f>K12+K16</f>
        <v>24.995999999999999</v>
      </c>
    </row>
    <row r="18" spans="1:11" ht="27" hidden="1" customHeight="1" outlineLevel="1" x14ac:dyDescent="0.25">
      <c r="A18" s="53" t="s">
        <v>13</v>
      </c>
      <c r="B18" s="54">
        <v>0.21</v>
      </c>
      <c r="C18" s="55">
        <f>C17*B18</f>
        <v>4.2004199999999994</v>
      </c>
      <c r="E18" s="53" t="s">
        <v>13</v>
      </c>
      <c r="F18" s="54">
        <v>0.21</v>
      </c>
      <c r="G18" s="55">
        <f>G17*F18</f>
        <v>5.2491599999999998</v>
      </c>
      <c r="I18" s="53" t="s">
        <v>13</v>
      </c>
      <c r="J18" s="54">
        <v>0.21</v>
      </c>
      <c r="K18" s="55">
        <f>K17*J18</f>
        <v>5.2491599999999998</v>
      </c>
    </row>
    <row r="19" spans="1:11" ht="15.75" hidden="1" outlineLevel="1" x14ac:dyDescent="0.25">
      <c r="A19" s="53" t="s">
        <v>14</v>
      </c>
      <c r="B19" s="56"/>
      <c r="C19" s="55">
        <f>C17+C18</f>
        <v>24.202419999999996</v>
      </c>
      <c r="E19" s="53" t="s">
        <v>14</v>
      </c>
      <c r="F19" s="56"/>
      <c r="G19" s="55">
        <f>G17+G18</f>
        <v>30.245159999999998</v>
      </c>
      <c r="I19" s="53" t="s">
        <v>14</v>
      </c>
      <c r="J19" s="56"/>
      <c r="K19" s="55">
        <f>K17+K18</f>
        <v>30.245159999999998</v>
      </c>
    </row>
    <row r="20" spans="1:11" ht="47.25" hidden="1" customHeight="1" outlineLevel="1" x14ac:dyDescent="0.25">
      <c r="A20" s="10"/>
      <c r="B20" s="2"/>
      <c r="C20" s="2"/>
      <c r="E20" s="10"/>
      <c r="F20" s="2"/>
      <c r="G20" s="2"/>
      <c r="I20" s="10"/>
      <c r="J20" s="2"/>
      <c r="K20" s="2"/>
    </row>
    <row r="21" spans="1:11" ht="46.5" hidden="1" customHeight="1" outlineLevel="1" x14ac:dyDescent="0.25">
      <c r="A21" s="84" t="s">
        <v>15</v>
      </c>
      <c r="B21" s="84"/>
      <c r="C21" s="84"/>
      <c r="E21" s="84" t="s">
        <v>15</v>
      </c>
      <c r="F21" s="84"/>
      <c r="G21" s="84"/>
      <c r="I21" s="84" t="s">
        <v>15</v>
      </c>
      <c r="J21" s="84"/>
      <c r="K21" s="84"/>
    </row>
    <row r="22" spans="1:11" hidden="1" outlineLevel="1" x14ac:dyDescent="0.25">
      <c r="A22" s="78"/>
      <c r="B22" s="78"/>
      <c r="C22" s="78"/>
      <c r="E22" s="78"/>
      <c r="F22" s="78"/>
      <c r="G22" s="78"/>
      <c r="I22" s="78"/>
      <c r="J22" s="78"/>
      <c r="K22" s="78"/>
    </row>
    <row r="23" spans="1:11" collapsed="1" x14ac:dyDescent="0.25">
      <c r="A23" s="10"/>
      <c r="B23" s="2"/>
      <c r="C23" s="2"/>
      <c r="E23" s="10"/>
      <c r="F23" s="2"/>
      <c r="G23" s="2"/>
      <c r="I23" s="10"/>
      <c r="J23" s="2"/>
      <c r="K23" s="2"/>
    </row>
    <row r="24" spans="1:11" x14ac:dyDescent="0.25">
      <c r="A24" s="10"/>
      <c r="B24" s="2"/>
      <c r="C24" s="2"/>
      <c r="E24" s="10"/>
      <c r="F24" s="2"/>
      <c r="G24" s="2"/>
      <c r="I24" s="10"/>
      <c r="J24" s="2"/>
      <c r="K24" s="2"/>
    </row>
    <row r="25" spans="1:11" ht="15.75" x14ac:dyDescent="0.25">
      <c r="A25" s="79" t="s">
        <v>16</v>
      </c>
      <c r="B25" s="79"/>
      <c r="C25" s="11">
        <v>180</v>
      </c>
      <c r="E25" s="79" t="s">
        <v>16</v>
      </c>
      <c r="F25" s="79"/>
      <c r="G25" s="11">
        <v>20</v>
      </c>
      <c r="I25" s="79" t="s">
        <v>16</v>
      </c>
      <c r="J25" s="79"/>
      <c r="K25" s="11">
        <v>10</v>
      </c>
    </row>
    <row r="26" spans="1:11" ht="15.75" x14ac:dyDescent="0.25">
      <c r="A26" s="79" t="s">
        <v>17</v>
      </c>
      <c r="B26" s="79"/>
      <c r="C26" s="12">
        <f>C19*C25</f>
        <v>4356.4355999999998</v>
      </c>
      <c r="E26" s="79" t="s">
        <v>17</v>
      </c>
      <c r="F26" s="79"/>
      <c r="G26" s="12">
        <f>G19*G25</f>
        <v>604.90319999999997</v>
      </c>
      <c r="I26" s="79" t="s">
        <v>17</v>
      </c>
      <c r="J26" s="79"/>
      <c r="K26" s="12">
        <f>K19*K25</f>
        <v>302.45159999999998</v>
      </c>
    </row>
    <row r="27" spans="1:11" x14ac:dyDescent="0.25">
      <c r="A27" s="13"/>
      <c r="E27" s="13"/>
      <c r="I27" s="13"/>
    </row>
    <row r="28" spans="1:11" ht="15.75" x14ac:dyDescent="0.25">
      <c r="A28" s="14" t="s">
        <v>40</v>
      </c>
      <c r="B28" s="14"/>
      <c r="C28" s="14"/>
      <c r="E28" s="14" t="s">
        <v>40</v>
      </c>
      <c r="F28" s="14"/>
      <c r="G28" s="14"/>
      <c r="I28" s="14" t="s">
        <v>40</v>
      </c>
      <c r="J28" s="14"/>
      <c r="K28" s="14"/>
    </row>
    <row r="29" spans="1:11" ht="15.75" x14ac:dyDescent="0.25">
      <c r="A29" s="15" t="s">
        <v>41</v>
      </c>
      <c r="B29" s="57"/>
      <c r="C29" s="58"/>
      <c r="E29" s="15" t="s">
        <v>41</v>
      </c>
      <c r="F29" s="57"/>
      <c r="G29" s="58"/>
      <c r="I29" s="15" t="s">
        <v>41</v>
      </c>
      <c r="J29" s="57"/>
      <c r="K29" s="58"/>
    </row>
    <row r="31" spans="1:11" ht="15.75" x14ac:dyDescent="0.25">
      <c r="A31" s="16" t="s">
        <v>81</v>
      </c>
      <c r="E31" s="16" t="s">
        <v>81</v>
      </c>
      <c r="I31" s="16" t="s">
        <v>81</v>
      </c>
    </row>
  </sheetData>
  <mergeCells count="24">
    <mergeCell ref="A21:C21"/>
    <mergeCell ref="A1:C1"/>
    <mergeCell ref="A2:C2"/>
    <mergeCell ref="A3:C3"/>
    <mergeCell ref="A4:C4"/>
    <mergeCell ref="A22:C22"/>
    <mergeCell ref="A25:B25"/>
    <mergeCell ref="A26:B26"/>
    <mergeCell ref="E22:G22"/>
    <mergeCell ref="E25:F25"/>
    <mergeCell ref="E26:F26"/>
    <mergeCell ref="E1:G1"/>
    <mergeCell ref="E2:G2"/>
    <mergeCell ref="E3:G3"/>
    <mergeCell ref="E4:G4"/>
    <mergeCell ref="E21:G21"/>
    <mergeCell ref="I22:K22"/>
    <mergeCell ref="I25:J25"/>
    <mergeCell ref="I26:J26"/>
    <mergeCell ref="I1:K1"/>
    <mergeCell ref="I2:K2"/>
    <mergeCell ref="I3:K3"/>
    <mergeCell ref="I4:K4"/>
    <mergeCell ref="I21:K2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97296-5DDA-45C5-91DF-4A2B77DE6234}">
  <dimension ref="A1:E30"/>
  <sheetViews>
    <sheetView workbookViewId="0">
      <selection activeCell="F25" sqref="F25"/>
    </sheetView>
  </sheetViews>
  <sheetFormatPr defaultRowHeight="15" outlineLevelRow="1" x14ac:dyDescent="0.25"/>
  <cols>
    <col min="1" max="1" width="26.5703125" customWidth="1"/>
    <col min="2" max="2" width="38.28515625" customWidth="1"/>
    <col min="3" max="3" width="18.42578125" customWidth="1"/>
  </cols>
  <sheetData>
    <row r="1" spans="1:5" x14ac:dyDescent="0.25">
      <c r="A1" s="80"/>
      <c r="B1" s="80"/>
      <c r="C1" s="80"/>
    </row>
    <row r="2" spans="1:5" ht="15.75" x14ac:dyDescent="0.25">
      <c r="A2" s="81" t="s">
        <v>0</v>
      </c>
      <c r="B2" s="81"/>
      <c r="C2" s="81"/>
    </row>
    <row r="3" spans="1:5" ht="15.75" x14ac:dyDescent="0.25">
      <c r="A3" s="82" t="s">
        <v>1</v>
      </c>
      <c r="B3" s="82"/>
      <c r="C3" s="82"/>
    </row>
    <row r="4" spans="1:5" ht="15.75" x14ac:dyDescent="0.25">
      <c r="A4" s="85" t="s">
        <v>20</v>
      </c>
      <c r="B4" s="85"/>
      <c r="C4" s="85"/>
    </row>
    <row r="5" spans="1:5" x14ac:dyDescent="0.25">
      <c r="A5" s="1"/>
      <c r="B5" s="2"/>
      <c r="C5" s="2"/>
    </row>
    <row r="6" spans="1:5" ht="63" x14ac:dyDescent="0.25">
      <c r="A6" s="3" t="s">
        <v>2</v>
      </c>
      <c r="B6" s="3" t="s">
        <v>3</v>
      </c>
      <c r="C6" s="3" t="s">
        <v>4</v>
      </c>
    </row>
    <row r="7" spans="1:5" x14ac:dyDescent="0.25">
      <c r="A7" s="4">
        <v>1</v>
      </c>
      <c r="B7" s="4">
        <v>2</v>
      </c>
      <c r="C7" s="4">
        <v>3</v>
      </c>
    </row>
    <row r="8" spans="1:5" x14ac:dyDescent="0.25">
      <c r="A8" s="5" t="s">
        <v>5</v>
      </c>
      <c r="B8" s="4"/>
      <c r="C8" s="6"/>
    </row>
    <row r="9" spans="1:5" ht="51" x14ac:dyDescent="0.25">
      <c r="A9" s="47" t="s">
        <v>6</v>
      </c>
      <c r="B9" s="48" t="s">
        <v>70</v>
      </c>
      <c r="C9" s="49">
        <f>ROUND(((30448/1994)+(6486/997))/2/60*5,2)</f>
        <v>0.91</v>
      </c>
      <c r="E9" s="17"/>
    </row>
    <row r="10" spans="1:5" x14ac:dyDescent="0.25">
      <c r="A10" s="47" t="s">
        <v>21</v>
      </c>
      <c r="B10" s="48" t="s">
        <v>22</v>
      </c>
      <c r="C10" s="49">
        <v>0.45</v>
      </c>
    </row>
    <row r="11" spans="1:5" x14ac:dyDescent="0.25">
      <c r="A11" s="44" t="s">
        <v>7</v>
      </c>
      <c r="B11" s="45"/>
      <c r="C11" s="46">
        <f>SUM(C8:C10)</f>
        <v>1.36</v>
      </c>
    </row>
    <row r="12" spans="1:5" x14ac:dyDescent="0.25">
      <c r="A12" s="5" t="s">
        <v>8</v>
      </c>
      <c r="B12" s="8"/>
      <c r="C12" s="8"/>
    </row>
    <row r="13" spans="1:5" ht="25.5" x14ac:dyDescent="0.25">
      <c r="A13" s="47" t="s">
        <v>10</v>
      </c>
      <c r="B13" s="48" t="s">
        <v>31</v>
      </c>
      <c r="C13" s="49">
        <f>C11*0.1</f>
        <v>0.13600000000000001</v>
      </c>
    </row>
    <row r="14" spans="1:5" x14ac:dyDescent="0.25">
      <c r="A14" s="47"/>
      <c r="B14" s="48"/>
      <c r="C14" s="49"/>
    </row>
    <row r="15" spans="1:5" x14ac:dyDescent="0.25">
      <c r="A15" s="44" t="s">
        <v>11</v>
      </c>
      <c r="B15" s="45"/>
      <c r="C15" s="46">
        <f>C13</f>
        <v>0.13600000000000001</v>
      </c>
    </row>
    <row r="16" spans="1:5" ht="25.5" x14ac:dyDescent="0.25">
      <c r="A16" s="50" t="s">
        <v>12</v>
      </c>
      <c r="B16" s="51"/>
      <c r="C16" s="52">
        <f>C11+C15</f>
        <v>1.496</v>
      </c>
    </row>
    <row r="17" spans="1:3" ht="15.75" hidden="1" outlineLevel="1" x14ac:dyDescent="0.25">
      <c r="A17" s="53" t="s">
        <v>13</v>
      </c>
      <c r="B17" s="54">
        <v>0.21</v>
      </c>
      <c r="C17" s="55">
        <f>C16*B17</f>
        <v>0.31415999999999999</v>
      </c>
    </row>
    <row r="18" spans="1:3" ht="15.75" hidden="1" outlineLevel="1" x14ac:dyDescent="0.25">
      <c r="A18" s="53" t="s">
        <v>14</v>
      </c>
      <c r="B18" s="56"/>
      <c r="C18" s="55">
        <f>C16+C17</f>
        <v>1.81016</v>
      </c>
    </row>
    <row r="19" spans="1:3" hidden="1" outlineLevel="1" x14ac:dyDescent="0.25">
      <c r="A19" s="10"/>
      <c r="B19" s="2"/>
      <c r="C19" s="2"/>
    </row>
    <row r="20" spans="1:3" ht="44.25" hidden="1" customHeight="1" outlineLevel="1" x14ac:dyDescent="0.25">
      <c r="A20" s="84" t="s">
        <v>15</v>
      </c>
      <c r="B20" s="84"/>
      <c r="C20" s="84"/>
    </row>
    <row r="21" spans="1:3" hidden="1" outlineLevel="1" x14ac:dyDescent="0.25">
      <c r="A21" s="78"/>
      <c r="B21" s="78"/>
      <c r="C21" s="78"/>
    </row>
    <row r="22" spans="1:3" collapsed="1" x14ac:dyDescent="0.25">
      <c r="A22" s="10"/>
      <c r="B22" s="2"/>
      <c r="C22" s="2"/>
    </row>
    <row r="23" spans="1:3" x14ac:dyDescent="0.25">
      <c r="A23" s="10"/>
      <c r="B23" s="2"/>
      <c r="C23" s="2"/>
    </row>
    <row r="24" spans="1:3" ht="15.75" x14ac:dyDescent="0.25">
      <c r="A24" s="79" t="s">
        <v>16</v>
      </c>
      <c r="B24" s="79"/>
      <c r="C24" s="18">
        <v>50</v>
      </c>
    </row>
    <row r="25" spans="1:3" ht="15.75" x14ac:dyDescent="0.25">
      <c r="A25" s="79" t="s">
        <v>17</v>
      </c>
      <c r="B25" s="79"/>
      <c r="C25" s="12">
        <f>C18*C24</f>
        <v>90.507999999999996</v>
      </c>
    </row>
    <row r="26" spans="1:3" x14ac:dyDescent="0.25">
      <c r="A26" s="13"/>
    </row>
    <row r="27" spans="1:3" ht="15.75" x14ac:dyDescent="0.25">
      <c r="A27" s="14" t="s">
        <v>40</v>
      </c>
      <c r="B27" s="14"/>
      <c r="C27" s="14"/>
    </row>
    <row r="28" spans="1:3" ht="15.75" x14ac:dyDescent="0.25">
      <c r="A28" s="15" t="s">
        <v>41</v>
      </c>
      <c r="B28" s="57"/>
      <c r="C28" s="58"/>
    </row>
    <row r="30" spans="1:3" ht="15.75" x14ac:dyDescent="0.25">
      <c r="A30" s="16" t="s">
        <v>81</v>
      </c>
    </row>
  </sheetData>
  <mergeCells count="8">
    <mergeCell ref="A24:B24"/>
    <mergeCell ref="A25:B25"/>
    <mergeCell ref="A1:C1"/>
    <mergeCell ref="A2:C2"/>
    <mergeCell ref="A3:C3"/>
    <mergeCell ref="A4:C4"/>
    <mergeCell ref="A20:C20"/>
    <mergeCell ref="A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0850-66EA-4F3A-ACE8-89EE5340BEA1}">
  <dimension ref="A1:C33"/>
  <sheetViews>
    <sheetView workbookViewId="0">
      <selection activeCell="F9" sqref="F9"/>
    </sheetView>
  </sheetViews>
  <sheetFormatPr defaultRowHeight="15" outlineLevelRow="1" x14ac:dyDescent="0.25"/>
  <cols>
    <col min="1" max="1" width="26.5703125" customWidth="1"/>
    <col min="2" max="2" width="41.42578125" customWidth="1"/>
    <col min="3" max="3" width="21.140625" customWidth="1"/>
    <col min="7" max="7" width="9.42578125" customWidth="1"/>
  </cols>
  <sheetData>
    <row r="1" spans="1:3" x14ac:dyDescent="0.25">
      <c r="A1" s="80"/>
      <c r="B1" s="80"/>
      <c r="C1" s="80"/>
    </row>
    <row r="2" spans="1:3" ht="15.75" x14ac:dyDescent="0.25">
      <c r="A2" s="81" t="s">
        <v>0</v>
      </c>
      <c r="B2" s="81"/>
      <c r="C2" s="81"/>
    </row>
    <row r="3" spans="1:3" ht="15.75" x14ac:dyDescent="0.25">
      <c r="A3" s="82" t="s">
        <v>1</v>
      </c>
      <c r="B3" s="82"/>
      <c r="C3" s="82"/>
    </row>
    <row r="4" spans="1:3" ht="15.75" x14ac:dyDescent="0.25">
      <c r="A4" s="83" t="s">
        <v>100</v>
      </c>
      <c r="B4" s="83"/>
      <c r="C4" s="83"/>
    </row>
    <row r="5" spans="1:3" x14ac:dyDescent="0.25">
      <c r="A5" s="1"/>
      <c r="B5" s="2"/>
      <c r="C5" s="2"/>
    </row>
    <row r="6" spans="1:3" ht="63" x14ac:dyDescent="0.25">
      <c r="A6" s="3" t="s">
        <v>2</v>
      </c>
      <c r="B6" s="3" t="s">
        <v>3</v>
      </c>
      <c r="C6" s="3" t="s">
        <v>4</v>
      </c>
    </row>
    <row r="7" spans="1:3" x14ac:dyDescent="0.25">
      <c r="A7" s="4">
        <v>1</v>
      </c>
      <c r="B7" s="4">
        <v>2</v>
      </c>
      <c r="C7" s="4">
        <v>3</v>
      </c>
    </row>
    <row r="8" spans="1:3" x14ac:dyDescent="0.25">
      <c r="A8" s="5" t="s">
        <v>5</v>
      </c>
      <c r="B8" s="4"/>
      <c r="C8" s="6"/>
    </row>
    <row r="9" spans="1:3" ht="38.25" x14ac:dyDescent="0.25">
      <c r="A9" s="47" t="s">
        <v>6</v>
      </c>
      <c r="B9" s="48" t="s">
        <v>52</v>
      </c>
      <c r="C9" s="49">
        <f>ROUND(6830/997/60*10,2)</f>
        <v>1.1399999999999999</v>
      </c>
    </row>
    <row r="10" spans="1:3" ht="51" x14ac:dyDescent="0.25">
      <c r="A10" s="47" t="s">
        <v>23</v>
      </c>
      <c r="B10" s="48" t="s">
        <v>71</v>
      </c>
      <c r="C10" s="49">
        <f>ROUND(50/1000*4.34,2)</f>
        <v>0.22</v>
      </c>
    </row>
    <row r="11" spans="1:3" ht="25.5" x14ac:dyDescent="0.25">
      <c r="A11" s="47" t="s">
        <v>24</v>
      </c>
      <c r="B11" s="48" t="s">
        <v>49</v>
      </c>
      <c r="C11" s="49">
        <f>0.25</f>
        <v>0.25</v>
      </c>
    </row>
    <row r="12" spans="1:3" ht="25.5" x14ac:dyDescent="0.25">
      <c r="A12" s="47" t="s">
        <v>50</v>
      </c>
      <c r="B12" s="47" t="s">
        <v>51</v>
      </c>
      <c r="C12" s="49">
        <f>0.37</f>
        <v>0.37</v>
      </c>
    </row>
    <row r="13" spans="1:3" x14ac:dyDescent="0.25">
      <c r="A13" s="44" t="s">
        <v>7</v>
      </c>
      <c r="B13" s="45"/>
      <c r="C13" s="46">
        <f>SUM(C9:C12)</f>
        <v>1.98</v>
      </c>
    </row>
    <row r="14" spans="1:3" x14ac:dyDescent="0.25">
      <c r="A14" s="5" t="s">
        <v>8</v>
      </c>
      <c r="B14" s="48"/>
      <c r="C14" s="49"/>
    </row>
    <row r="15" spans="1:3" ht="41.25" x14ac:dyDescent="0.25">
      <c r="A15" s="47" t="s">
        <v>33</v>
      </c>
      <c r="B15" s="61" t="s">
        <v>48</v>
      </c>
      <c r="C15" s="49">
        <f>ROUND(6492/377.2*2.8/1994,2)</f>
        <v>0.02</v>
      </c>
    </row>
    <row r="16" spans="1:3" ht="25.5" x14ac:dyDescent="0.25">
      <c r="A16" s="47" t="s">
        <v>10</v>
      </c>
      <c r="B16" s="48" t="s">
        <v>31</v>
      </c>
      <c r="C16" s="49">
        <f>ROUND(C13*0.1,2)</f>
        <v>0.2</v>
      </c>
    </row>
    <row r="17" spans="1:3" x14ac:dyDescent="0.25">
      <c r="A17" s="47"/>
      <c r="B17" s="48"/>
      <c r="C17" s="49"/>
    </row>
    <row r="18" spans="1:3" x14ac:dyDescent="0.25">
      <c r="A18" s="44" t="s">
        <v>11</v>
      </c>
      <c r="B18" s="45"/>
      <c r="C18" s="46">
        <f>SUM(C15:C17)</f>
        <v>0.22</v>
      </c>
    </row>
    <row r="19" spans="1:3" ht="25.5" x14ac:dyDescent="0.25">
      <c r="A19" s="53" t="s">
        <v>12</v>
      </c>
      <c r="B19" s="54"/>
      <c r="C19" s="55">
        <f>C13+C18</f>
        <v>2.2000000000000002</v>
      </c>
    </row>
    <row r="20" spans="1:3" ht="15.75" hidden="1" outlineLevel="1" x14ac:dyDescent="0.25">
      <c r="A20" s="53" t="s">
        <v>13</v>
      </c>
      <c r="B20" s="62">
        <v>0.21</v>
      </c>
      <c r="C20" s="55">
        <f>C19*B20</f>
        <v>0.46200000000000002</v>
      </c>
    </row>
    <row r="21" spans="1:3" ht="15.75" hidden="1" outlineLevel="1" x14ac:dyDescent="0.25">
      <c r="A21" s="53" t="s">
        <v>14</v>
      </c>
      <c r="B21" s="56"/>
      <c r="C21" s="55">
        <f>C19+C20</f>
        <v>2.6620000000000004</v>
      </c>
    </row>
    <row r="22" spans="1:3" hidden="1" outlineLevel="1" x14ac:dyDescent="0.25">
      <c r="A22" s="10"/>
      <c r="B22" s="2"/>
      <c r="C22" s="2"/>
    </row>
    <row r="23" spans="1:3" ht="42.6" hidden="1" customHeight="1" outlineLevel="1" x14ac:dyDescent="0.25">
      <c r="A23" s="84" t="s">
        <v>15</v>
      </c>
      <c r="B23" s="84"/>
      <c r="C23" s="84"/>
    </row>
    <row r="24" spans="1:3" hidden="1" outlineLevel="1" x14ac:dyDescent="0.25">
      <c r="A24" s="78"/>
      <c r="B24" s="78"/>
      <c r="C24" s="78"/>
    </row>
    <row r="25" spans="1:3" collapsed="1" x14ac:dyDescent="0.25">
      <c r="A25" s="10"/>
      <c r="B25" s="2"/>
      <c r="C25" s="2"/>
    </row>
    <row r="26" spans="1:3" x14ac:dyDescent="0.25">
      <c r="A26" s="10"/>
      <c r="B26" s="2"/>
      <c r="C26" s="2"/>
    </row>
    <row r="27" spans="1:3" ht="15.75" x14ac:dyDescent="0.25">
      <c r="A27" s="79" t="s">
        <v>16</v>
      </c>
      <c r="B27" s="79"/>
      <c r="C27" s="11">
        <v>2</v>
      </c>
    </row>
    <row r="28" spans="1:3" ht="15.75" x14ac:dyDescent="0.25">
      <c r="A28" s="79" t="s">
        <v>17</v>
      </c>
      <c r="B28" s="79"/>
      <c r="C28" s="12">
        <f>C19*C27</f>
        <v>4.4000000000000004</v>
      </c>
    </row>
    <row r="29" spans="1:3" x14ac:dyDescent="0.25">
      <c r="A29" s="13"/>
    </row>
    <row r="30" spans="1:3" ht="15.75" x14ac:dyDescent="0.25">
      <c r="A30" s="14" t="s">
        <v>40</v>
      </c>
      <c r="B30" s="14"/>
      <c r="C30" s="14"/>
    </row>
    <row r="31" spans="1:3" ht="15.75" x14ac:dyDescent="0.25">
      <c r="A31" s="15" t="s">
        <v>41</v>
      </c>
      <c r="B31" s="57"/>
      <c r="C31" s="58"/>
    </row>
    <row r="33" spans="1:1" ht="15.75" x14ac:dyDescent="0.25">
      <c r="A33" s="16" t="s">
        <v>81</v>
      </c>
    </row>
  </sheetData>
  <mergeCells count="8">
    <mergeCell ref="A27:B27"/>
    <mergeCell ref="A28:B28"/>
    <mergeCell ref="A1:C1"/>
    <mergeCell ref="A2:C2"/>
    <mergeCell ref="A3:C3"/>
    <mergeCell ref="A4:C4"/>
    <mergeCell ref="A23:C23"/>
    <mergeCell ref="A24:C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3DF7-C10D-45A9-B19E-B5FAF8B93372}">
  <dimension ref="A1:T31"/>
  <sheetViews>
    <sheetView workbookViewId="0">
      <selection activeCell="T27" sqref="T27"/>
    </sheetView>
  </sheetViews>
  <sheetFormatPr defaultRowHeight="15" outlineLevelRow="1" x14ac:dyDescent="0.25"/>
  <cols>
    <col min="1" max="1" width="26.5703125" customWidth="1"/>
    <col min="2" max="2" width="38.28515625" customWidth="1"/>
    <col min="3" max="3" width="18.42578125" customWidth="1"/>
    <col min="5" max="5" width="26.5703125" customWidth="1"/>
    <col min="6" max="6" width="38.28515625" customWidth="1"/>
    <col min="7" max="7" width="18.42578125" customWidth="1"/>
    <col min="9" max="9" width="26.5703125" customWidth="1"/>
    <col min="10" max="10" width="38.28515625" customWidth="1"/>
    <col min="11" max="11" width="18.42578125" customWidth="1"/>
    <col min="14" max="14" width="26.5703125" customWidth="1"/>
    <col min="15" max="15" width="38.28515625" customWidth="1"/>
    <col min="16" max="16" width="18.42578125" customWidth="1"/>
    <col min="18" max="18" width="26.5703125" customWidth="1"/>
    <col min="19" max="19" width="38.28515625" customWidth="1"/>
    <col min="20" max="20" width="18.42578125" customWidth="1"/>
  </cols>
  <sheetData>
    <row r="1" spans="1:20" x14ac:dyDescent="0.25">
      <c r="A1" s="80"/>
      <c r="B1" s="80"/>
      <c r="C1" s="80"/>
      <c r="E1" s="80"/>
      <c r="F1" s="80"/>
      <c r="G1" s="80"/>
      <c r="I1" s="80"/>
      <c r="J1" s="80"/>
      <c r="K1" s="80"/>
      <c r="N1" s="80"/>
      <c r="O1" s="80"/>
      <c r="P1" s="80"/>
      <c r="R1" s="80"/>
      <c r="S1" s="80"/>
      <c r="T1" s="80"/>
    </row>
    <row r="2" spans="1:20" ht="15.75" x14ac:dyDescent="0.25">
      <c r="A2" s="81" t="s">
        <v>0</v>
      </c>
      <c r="B2" s="81"/>
      <c r="C2" s="81"/>
      <c r="E2" s="81" t="s">
        <v>0</v>
      </c>
      <c r="F2" s="81"/>
      <c r="G2" s="81"/>
      <c r="I2" s="81" t="s">
        <v>0</v>
      </c>
      <c r="J2" s="81"/>
      <c r="K2" s="81"/>
      <c r="N2" s="81" t="s">
        <v>0</v>
      </c>
      <c r="O2" s="81"/>
      <c r="P2" s="81"/>
      <c r="R2" s="81" t="s">
        <v>0</v>
      </c>
      <c r="S2" s="81"/>
      <c r="T2" s="81"/>
    </row>
    <row r="3" spans="1:20" ht="15.75" x14ac:dyDescent="0.25">
      <c r="A3" s="82" t="s">
        <v>1</v>
      </c>
      <c r="B3" s="82"/>
      <c r="C3" s="82"/>
      <c r="E3" s="82" t="s">
        <v>1</v>
      </c>
      <c r="F3" s="82"/>
      <c r="G3" s="82"/>
      <c r="I3" s="82" t="s">
        <v>1</v>
      </c>
      <c r="J3" s="82"/>
      <c r="K3" s="82"/>
      <c r="N3" s="82" t="s">
        <v>1</v>
      </c>
      <c r="O3" s="82"/>
      <c r="P3" s="82"/>
      <c r="R3" s="82" t="s">
        <v>1</v>
      </c>
      <c r="S3" s="82"/>
      <c r="T3" s="82"/>
    </row>
    <row r="4" spans="1:20" ht="15.75" x14ac:dyDescent="0.25">
      <c r="A4" s="85" t="s">
        <v>25</v>
      </c>
      <c r="B4" s="85"/>
      <c r="C4" s="85"/>
      <c r="E4" s="85" t="s">
        <v>26</v>
      </c>
      <c r="F4" s="85"/>
      <c r="G4" s="85"/>
      <c r="I4" s="85" t="s">
        <v>27</v>
      </c>
      <c r="J4" s="85"/>
      <c r="K4" s="85"/>
      <c r="N4" s="85" t="s">
        <v>28</v>
      </c>
      <c r="O4" s="85"/>
      <c r="P4" s="85"/>
      <c r="R4" s="85" t="s">
        <v>29</v>
      </c>
      <c r="S4" s="85"/>
      <c r="T4" s="85"/>
    </row>
    <row r="5" spans="1:20" x14ac:dyDescent="0.25">
      <c r="A5" s="1"/>
      <c r="B5" s="2"/>
      <c r="C5" s="2"/>
      <c r="E5" s="1"/>
      <c r="F5" s="2"/>
      <c r="G5" s="2"/>
      <c r="I5" s="1"/>
      <c r="J5" s="2"/>
      <c r="K5" s="2"/>
      <c r="N5" s="1"/>
      <c r="O5" s="2"/>
      <c r="P5" s="2"/>
      <c r="R5" s="1"/>
      <c r="S5" s="2"/>
      <c r="T5" s="2"/>
    </row>
    <row r="6" spans="1:20" ht="63" x14ac:dyDescent="0.25">
      <c r="A6" s="3" t="s">
        <v>2</v>
      </c>
      <c r="B6" s="3" t="s">
        <v>3</v>
      </c>
      <c r="C6" s="3" t="s">
        <v>4</v>
      </c>
      <c r="E6" s="3" t="s">
        <v>2</v>
      </c>
      <c r="F6" s="3" t="s">
        <v>3</v>
      </c>
      <c r="G6" s="3" t="s">
        <v>4</v>
      </c>
      <c r="I6" s="3" t="s">
        <v>2</v>
      </c>
      <c r="J6" s="3" t="s">
        <v>3</v>
      </c>
      <c r="K6" s="3" t="s">
        <v>4</v>
      </c>
      <c r="N6" s="3" t="s">
        <v>2</v>
      </c>
      <c r="O6" s="3" t="s">
        <v>3</v>
      </c>
      <c r="P6" s="3" t="s">
        <v>4</v>
      </c>
      <c r="R6" s="3" t="s">
        <v>2</v>
      </c>
      <c r="S6" s="3" t="s">
        <v>3</v>
      </c>
      <c r="T6" s="3" t="s">
        <v>4</v>
      </c>
    </row>
    <row r="7" spans="1:20" x14ac:dyDescent="0.25">
      <c r="A7" s="4">
        <v>1</v>
      </c>
      <c r="B7" s="4">
        <v>2</v>
      </c>
      <c r="C7" s="4">
        <v>3</v>
      </c>
      <c r="E7" s="4">
        <v>1</v>
      </c>
      <c r="F7" s="4">
        <v>2</v>
      </c>
      <c r="G7" s="4">
        <v>3</v>
      </c>
      <c r="I7" s="4">
        <v>1</v>
      </c>
      <c r="J7" s="4">
        <v>2</v>
      </c>
      <c r="K7" s="4">
        <v>3</v>
      </c>
      <c r="N7" s="4">
        <v>1</v>
      </c>
      <c r="O7" s="4">
        <v>2</v>
      </c>
      <c r="P7" s="4">
        <v>3</v>
      </c>
      <c r="R7" s="4">
        <v>1</v>
      </c>
      <c r="S7" s="4">
        <v>2</v>
      </c>
      <c r="T7" s="4">
        <v>3</v>
      </c>
    </row>
    <row r="8" spans="1:20" x14ac:dyDescent="0.25">
      <c r="A8" s="5" t="s">
        <v>5</v>
      </c>
      <c r="B8" s="4"/>
      <c r="C8" s="6"/>
      <c r="E8" s="5" t="s">
        <v>5</v>
      </c>
      <c r="F8" s="4"/>
      <c r="G8" s="6"/>
      <c r="I8" s="5" t="s">
        <v>5</v>
      </c>
      <c r="J8" s="4"/>
      <c r="K8" s="6"/>
      <c r="N8" s="5" t="s">
        <v>5</v>
      </c>
      <c r="O8" s="4"/>
      <c r="P8" s="6"/>
      <c r="R8" s="5" t="s">
        <v>5</v>
      </c>
      <c r="S8" s="4"/>
      <c r="T8" s="6"/>
    </row>
    <row r="9" spans="1:20" ht="38.25" x14ac:dyDescent="0.25">
      <c r="A9" s="47" t="s">
        <v>6</v>
      </c>
      <c r="B9" s="48" t="s">
        <v>72</v>
      </c>
      <c r="C9" s="49">
        <f>ROUND(4844/675/60*16,2)</f>
        <v>1.91</v>
      </c>
      <c r="E9" s="47" t="s">
        <v>6</v>
      </c>
      <c r="F9" s="48" t="s">
        <v>73</v>
      </c>
      <c r="G9" s="49">
        <f>ROUND(4844/675/60*16,2)</f>
        <v>1.91</v>
      </c>
      <c r="I9" s="4" t="s">
        <v>6</v>
      </c>
      <c r="J9" s="4" t="s">
        <v>74</v>
      </c>
      <c r="K9" s="6">
        <f>ROUND(4844/675/60*16,2)</f>
        <v>1.91</v>
      </c>
      <c r="N9" s="47" t="s">
        <v>6</v>
      </c>
      <c r="O9" s="48" t="s">
        <v>75</v>
      </c>
      <c r="P9" s="49">
        <f>ROUND(4844/675/60*10,2)</f>
        <v>1.2</v>
      </c>
      <c r="R9" s="47" t="s">
        <v>6</v>
      </c>
      <c r="S9" s="48" t="s">
        <v>76</v>
      </c>
      <c r="T9" s="49">
        <f>ROUND(4844/675/60*20,2)</f>
        <v>2.39</v>
      </c>
    </row>
    <row r="10" spans="1:20" x14ac:dyDescent="0.25">
      <c r="A10" s="4"/>
      <c r="B10" s="4"/>
      <c r="C10" s="6"/>
      <c r="E10" s="4"/>
      <c r="F10" s="4"/>
      <c r="G10" s="6"/>
      <c r="I10" s="4"/>
      <c r="J10" s="4"/>
      <c r="K10" s="6"/>
      <c r="N10" s="47"/>
      <c r="O10" s="48"/>
      <c r="P10" s="49"/>
      <c r="R10" s="4"/>
      <c r="S10" s="4"/>
      <c r="T10" s="6"/>
    </row>
    <row r="11" spans="1:20" x14ac:dyDescent="0.25">
      <c r="A11" s="44" t="s">
        <v>7</v>
      </c>
      <c r="B11" s="45"/>
      <c r="C11" s="46">
        <f>SUM(C8:C9)</f>
        <v>1.91</v>
      </c>
      <c r="E11" s="44" t="s">
        <v>7</v>
      </c>
      <c r="F11" s="45"/>
      <c r="G11" s="46">
        <f>SUM(G8:G10)</f>
        <v>1.91</v>
      </c>
      <c r="I11" s="44" t="s">
        <v>7</v>
      </c>
      <c r="J11" s="45"/>
      <c r="K11" s="46">
        <f>SUM(K8:K10)</f>
        <v>1.91</v>
      </c>
      <c r="N11" s="44" t="s">
        <v>7</v>
      </c>
      <c r="O11" s="45"/>
      <c r="P11" s="46">
        <f>SUM(P8:P10)</f>
        <v>1.2</v>
      </c>
      <c r="R11" s="44" t="s">
        <v>7</v>
      </c>
      <c r="S11" s="45"/>
      <c r="T11" s="46">
        <f>SUM(T8:T10)</f>
        <v>2.39</v>
      </c>
    </row>
    <row r="12" spans="1:20" x14ac:dyDescent="0.25">
      <c r="A12" s="5" t="s">
        <v>8</v>
      </c>
      <c r="B12" s="8"/>
      <c r="C12" s="8"/>
      <c r="E12" s="5" t="s">
        <v>8</v>
      </c>
      <c r="F12" s="8"/>
      <c r="G12" s="8"/>
      <c r="I12" s="5" t="s">
        <v>8</v>
      </c>
      <c r="J12" s="8"/>
      <c r="K12" s="8"/>
      <c r="N12" s="5" t="s">
        <v>8</v>
      </c>
      <c r="O12" s="8"/>
      <c r="P12" s="8"/>
      <c r="R12" s="5" t="s">
        <v>8</v>
      </c>
      <c r="S12" s="8"/>
      <c r="T12" s="8"/>
    </row>
    <row r="13" spans="1:20" ht="25.5" x14ac:dyDescent="0.25">
      <c r="A13" s="47" t="s">
        <v>18</v>
      </c>
      <c r="B13" s="48" t="s">
        <v>77</v>
      </c>
      <c r="C13" s="69">
        <f>0.4</f>
        <v>0.4</v>
      </c>
      <c r="E13" s="47" t="s">
        <v>19</v>
      </c>
      <c r="F13" s="48" t="s">
        <v>30</v>
      </c>
      <c r="G13" s="49">
        <f>((33.84+29.76+26.76+31.32+31.32+32.76+32.76)/7)/100</f>
        <v>0.31217142857142854</v>
      </c>
      <c r="I13" s="47" t="s">
        <v>18</v>
      </c>
      <c r="J13" s="48" t="s">
        <v>79</v>
      </c>
      <c r="K13" s="69">
        <f>0.6</f>
        <v>0.6</v>
      </c>
      <c r="N13" s="47" t="s">
        <v>18</v>
      </c>
      <c r="O13" s="48" t="s">
        <v>78</v>
      </c>
      <c r="P13" s="49">
        <v>0.68</v>
      </c>
      <c r="R13" s="47" t="s">
        <v>19</v>
      </c>
      <c r="S13" s="48" t="s">
        <v>30</v>
      </c>
      <c r="T13" s="69">
        <f>ROUND((55.92+51.72+64.68)/3/50,2)</f>
        <v>1.1499999999999999</v>
      </c>
    </row>
    <row r="14" spans="1:20" ht="25.5" x14ac:dyDescent="0.25">
      <c r="A14" s="47" t="s">
        <v>10</v>
      </c>
      <c r="B14" s="48" t="s">
        <v>31</v>
      </c>
      <c r="C14" s="49">
        <f>C11*0.1</f>
        <v>0.191</v>
      </c>
      <c r="E14" s="47" t="s">
        <v>18</v>
      </c>
      <c r="F14" s="48" t="s">
        <v>77</v>
      </c>
      <c r="G14" s="49">
        <v>2.59</v>
      </c>
      <c r="I14" s="71" t="s">
        <v>10</v>
      </c>
      <c r="J14" s="72" t="s">
        <v>31</v>
      </c>
      <c r="K14" s="49">
        <f>K11*0.1</f>
        <v>0.191</v>
      </c>
      <c r="N14" s="71" t="s">
        <v>10</v>
      </c>
      <c r="O14" s="72" t="s">
        <v>31</v>
      </c>
      <c r="P14" s="75">
        <f>P11*0.1</f>
        <v>0.12</v>
      </c>
      <c r="R14" s="47" t="s">
        <v>18</v>
      </c>
      <c r="S14" s="48" t="s">
        <v>78</v>
      </c>
      <c r="T14" s="69">
        <v>1.22</v>
      </c>
    </row>
    <row r="15" spans="1:20" ht="25.5" x14ac:dyDescent="0.25">
      <c r="A15" s="47"/>
      <c r="B15" s="48"/>
      <c r="C15" s="49"/>
      <c r="E15" s="47" t="s">
        <v>10</v>
      </c>
      <c r="F15" s="48" t="s">
        <v>31</v>
      </c>
      <c r="G15" s="49">
        <f>G11*0.1</f>
        <v>0.191</v>
      </c>
      <c r="I15" s="8"/>
      <c r="J15" s="8"/>
      <c r="K15" s="70"/>
      <c r="N15" s="8"/>
      <c r="O15" s="8"/>
      <c r="P15" s="8"/>
      <c r="R15" s="47" t="s">
        <v>10</v>
      </c>
      <c r="S15" s="48" t="s">
        <v>31</v>
      </c>
      <c r="T15" s="49">
        <f>T11*0.1</f>
        <v>0.23900000000000002</v>
      </c>
    </row>
    <row r="16" spans="1:20" x14ac:dyDescent="0.25">
      <c r="A16" s="44" t="s">
        <v>11</v>
      </c>
      <c r="B16" s="45"/>
      <c r="C16" s="46">
        <f>SUM(C13:C15)</f>
        <v>0.59099999999999997</v>
      </c>
      <c r="E16" s="44" t="s">
        <v>11</v>
      </c>
      <c r="F16" s="45"/>
      <c r="G16" s="46">
        <f>SUM(G13:G15)</f>
        <v>3.093171428571428</v>
      </c>
      <c r="I16" s="73" t="s">
        <v>11</v>
      </c>
      <c r="J16" s="74"/>
      <c r="K16" s="46">
        <f>SUM(K13:K15)</f>
        <v>0.79099999999999993</v>
      </c>
      <c r="N16" s="73" t="s">
        <v>11</v>
      </c>
      <c r="O16" s="74"/>
      <c r="P16" s="76">
        <f>SUM(P13:P14)</f>
        <v>0.8</v>
      </c>
      <c r="R16" s="44" t="s">
        <v>11</v>
      </c>
      <c r="S16" s="45"/>
      <c r="T16" s="46">
        <f>SUM(T13:T15)</f>
        <v>2.609</v>
      </c>
    </row>
    <row r="17" spans="1:20" ht="25.5" x14ac:dyDescent="0.25">
      <c r="A17" s="50" t="s">
        <v>12</v>
      </c>
      <c r="B17" s="51"/>
      <c r="C17" s="52">
        <f>C11+C16</f>
        <v>2.5009999999999999</v>
      </c>
      <c r="E17" s="50" t="s">
        <v>12</v>
      </c>
      <c r="F17" s="51"/>
      <c r="G17" s="52">
        <f>G11+G16</f>
        <v>5.0031714285714282</v>
      </c>
      <c r="I17" s="50" t="s">
        <v>12</v>
      </c>
      <c r="J17" s="51"/>
      <c r="K17" s="52">
        <f>K11+K16</f>
        <v>2.7009999999999996</v>
      </c>
      <c r="N17" s="50" t="s">
        <v>12</v>
      </c>
      <c r="O17" s="51"/>
      <c r="P17" s="52">
        <f>P11+P16</f>
        <v>2</v>
      </c>
      <c r="R17" s="50" t="s">
        <v>12</v>
      </c>
      <c r="S17" s="51"/>
      <c r="T17" s="52">
        <f>T11+T16</f>
        <v>4.9990000000000006</v>
      </c>
    </row>
    <row r="18" spans="1:20" ht="15.75" hidden="1" outlineLevel="1" x14ac:dyDescent="0.25">
      <c r="A18" s="53" t="s">
        <v>13</v>
      </c>
      <c r="B18" s="54">
        <v>0.21</v>
      </c>
      <c r="C18" s="55">
        <f>C17*B18</f>
        <v>0.52520999999999995</v>
      </c>
      <c r="E18" s="53" t="s">
        <v>13</v>
      </c>
      <c r="F18" s="54">
        <v>0.21</v>
      </c>
      <c r="G18" s="55">
        <f>G17*F18</f>
        <v>1.0506659999999999</v>
      </c>
      <c r="I18" s="53" t="s">
        <v>13</v>
      </c>
      <c r="J18" s="54">
        <v>0.21</v>
      </c>
      <c r="K18" s="55">
        <f>K17*J18</f>
        <v>0.56720999999999988</v>
      </c>
      <c r="N18" s="53" t="s">
        <v>13</v>
      </c>
      <c r="O18" s="54">
        <v>0.21</v>
      </c>
      <c r="P18" s="55">
        <f>P17*O18</f>
        <v>0.42</v>
      </c>
      <c r="R18" s="53" t="s">
        <v>13</v>
      </c>
      <c r="S18" s="54">
        <v>0.21</v>
      </c>
      <c r="T18" s="55">
        <f>T17*S18</f>
        <v>1.04979</v>
      </c>
    </row>
    <row r="19" spans="1:20" ht="15.75" hidden="1" outlineLevel="1" x14ac:dyDescent="0.25">
      <c r="A19" s="53" t="s">
        <v>14</v>
      </c>
      <c r="B19" s="56"/>
      <c r="C19" s="55">
        <f>C17+C18</f>
        <v>3.0262099999999998</v>
      </c>
      <c r="E19" s="53" t="s">
        <v>14</v>
      </c>
      <c r="F19" s="56"/>
      <c r="G19" s="55">
        <f>G17+G18</f>
        <v>6.0538374285714278</v>
      </c>
      <c r="I19" s="53" t="s">
        <v>14</v>
      </c>
      <c r="J19" s="56"/>
      <c r="K19" s="55">
        <f>K17+K18</f>
        <v>3.2682099999999994</v>
      </c>
      <c r="N19" s="53" t="s">
        <v>14</v>
      </c>
      <c r="O19" s="56"/>
      <c r="P19" s="55">
        <f>P17+P18</f>
        <v>2.42</v>
      </c>
      <c r="R19" s="53" t="s">
        <v>14</v>
      </c>
      <c r="S19" s="56"/>
      <c r="T19" s="55">
        <f>T17+T18</f>
        <v>6.0487900000000003</v>
      </c>
    </row>
    <row r="20" spans="1:20" ht="15" hidden="1" customHeight="1" outlineLevel="1" x14ac:dyDescent="0.25">
      <c r="A20" s="10"/>
      <c r="B20" s="2"/>
      <c r="C20" s="2"/>
      <c r="E20" s="10"/>
      <c r="F20" s="2"/>
      <c r="G20" s="2"/>
      <c r="I20" s="10"/>
      <c r="J20" s="2"/>
      <c r="K20" s="2"/>
      <c r="N20" s="10"/>
      <c r="O20" s="2"/>
      <c r="P20" s="2"/>
      <c r="R20" s="10"/>
      <c r="S20" s="2"/>
      <c r="T20" s="2"/>
    </row>
    <row r="21" spans="1:20" ht="24.6" hidden="1" customHeight="1" outlineLevel="1" x14ac:dyDescent="0.25">
      <c r="A21" s="84" t="s">
        <v>15</v>
      </c>
      <c r="B21" s="84"/>
      <c r="C21" s="84"/>
      <c r="E21" s="84" t="s">
        <v>15</v>
      </c>
      <c r="F21" s="84"/>
      <c r="G21" s="84"/>
      <c r="I21" s="84" t="s">
        <v>15</v>
      </c>
      <c r="J21" s="84"/>
      <c r="K21" s="84"/>
      <c r="N21" s="84" t="s">
        <v>15</v>
      </c>
      <c r="O21" s="84"/>
      <c r="P21" s="84"/>
      <c r="R21" s="84" t="s">
        <v>15</v>
      </c>
      <c r="S21" s="84"/>
      <c r="T21" s="84"/>
    </row>
    <row r="22" spans="1:20" ht="15" hidden="1" customHeight="1" outlineLevel="1" x14ac:dyDescent="0.25">
      <c r="A22" s="78"/>
      <c r="B22" s="78"/>
      <c r="C22" s="78"/>
      <c r="E22" s="78"/>
      <c r="F22" s="78"/>
      <c r="G22" s="78"/>
      <c r="I22" s="78"/>
      <c r="J22" s="78"/>
      <c r="K22" s="78"/>
      <c r="N22" s="78"/>
      <c r="O22" s="78"/>
      <c r="P22" s="78"/>
      <c r="R22" s="78"/>
      <c r="S22" s="78"/>
      <c r="T22" s="78"/>
    </row>
    <row r="23" spans="1:20" collapsed="1" x14ac:dyDescent="0.25">
      <c r="A23" s="10"/>
      <c r="B23" s="2"/>
      <c r="C23" s="2"/>
      <c r="E23" s="10"/>
      <c r="F23" s="2"/>
      <c r="G23" s="2"/>
      <c r="I23" s="10"/>
      <c r="J23" s="2"/>
      <c r="K23" s="2"/>
      <c r="N23" s="10"/>
      <c r="O23" s="2"/>
      <c r="P23" s="2"/>
      <c r="R23" s="10"/>
      <c r="S23" s="2"/>
      <c r="T23" s="2"/>
    </row>
    <row r="24" spans="1:20" x14ac:dyDescent="0.25">
      <c r="A24" s="10"/>
      <c r="B24" s="2"/>
      <c r="C24" s="2"/>
      <c r="E24" s="10"/>
      <c r="F24" s="2"/>
      <c r="G24" s="2"/>
      <c r="I24" s="10"/>
      <c r="J24" s="2"/>
      <c r="K24" s="2"/>
      <c r="N24" s="10"/>
      <c r="O24" s="2"/>
      <c r="P24" s="2"/>
      <c r="R24" s="10"/>
      <c r="S24" s="2"/>
      <c r="T24" s="2"/>
    </row>
    <row r="25" spans="1:20" ht="15.75" x14ac:dyDescent="0.25">
      <c r="A25" s="79" t="s">
        <v>16</v>
      </c>
      <c r="B25" s="79"/>
      <c r="C25" s="11">
        <v>90</v>
      </c>
      <c r="E25" s="79" t="s">
        <v>16</v>
      </c>
      <c r="F25" s="79"/>
      <c r="G25" s="11">
        <v>100</v>
      </c>
      <c r="I25" s="79" t="s">
        <v>16</v>
      </c>
      <c r="J25" s="79"/>
      <c r="K25" s="11">
        <v>20</v>
      </c>
      <c r="N25" s="79" t="s">
        <v>16</v>
      </c>
      <c r="O25" s="79"/>
      <c r="P25" s="11">
        <v>50</v>
      </c>
      <c r="R25" s="79" t="s">
        <v>16</v>
      </c>
      <c r="S25" s="79"/>
      <c r="T25" s="11">
        <v>50</v>
      </c>
    </row>
    <row r="26" spans="1:20" ht="15.75" x14ac:dyDescent="0.25">
      <c r="A26" s="79" t="s">
        <v>17</v>
      </c>
      <c r="B26" s="79"/>
      <c r="C26" s="12">
        <f>ROUND(C19*C25,0)</f>
        <v>272</v>
      </c>
      <c r="E26" s="79" t="s">
        <v>17</v>
      </c>
      <c r="F26" s="79"/>
      <c r="G26" s="12">
        <f>ROUND(G19*G25,0)</f>
        <v>605</v>
      </c>
      <c r="I26" s="79" t="s">
        <v>17</v>
      </c>
      <c r="J26" s="79"/>
      <c r="K26" s="12">
        <f>ROUND(K19*K25,0)</f>
        <v>65</v>
      </c>
      <c r="N26" s="79" t="s">
        <v>17</v>
      </c>
      <c r="O26" s="79"/>
      <c r="P26" s="12">
        <f>P19*P25</f>
        <v>121</v>
      </c>
      <c r="R26" s="79" t="s">
        <v>17</v>
      </c>
      <c r="S26" s="79"/>
      <c r="T26" s="12">
        <f>ROUND(T19*T25,0)</f>
        <v>302</v>
      </c>
    </row>
    <row r="27" spans="1:20" x14ac:dyDescent="0.25">
      <c r="A27" s="13"/>
      <c r="E27" s="13"/>
      <c r="I27" s="13"/>
      <c r="N27" s="13"/>
      <c r="R27" s="13"/>
    </row>
    <row r="28" spans="1:20" ht="15.75" x14ac:dyDescent="0.25">
      <c r="A28" s="14" t="s">
        <v>40</v>
      </c>
      <c r="B28" s="14"/>
      <c r="C28" s="14"/>
      <c r="E28" s="14" t="s">
        <v>40</v>
      </c>
      <c r="F28" s="14"/>
      <c r="G28" s="14"/>
      <c r="I28" s="14" t="s">
        <v>40</v>
      </c>
      <c r="J28" s="14"/>
      <c r="K28" s="14"/>
      <c r="N28" s="14" t="s">
        <v>40</v>
      </c>
      <c r="O28" s="14"/>
      <c r="P28" s="14"/>
      <c r="R28" s="14" t="s">
        <v>40</v>
      </c>
      <c r="S28" s="14"/>
      <c r="T28" s="14"/>
    </row>
    <row r="29" spans="1:20" ht="15.75" x14ac:dyDescent="0.25">
      <c r="A29" s="15" t="s">
        <v>41</v>
      </c>
      <c r="B29" s="57"/>
      <c r="C29" s="58"/>
      <c r="E29" s="15" t="s">
        <v>41</v>
      </c>
      <c r="F29" s="57"/>
      <c r="G29" s="58"/>
      <c r="I29" s="15" t="s">
        <v>41</v>
      </c>
      <c r="J29" s="57"/>
      <c r="K29" s="58"/>
      <c r="N29" s="15" t="s">
        <v>41</v>
      </c>
      <c r="O29" s="57"/>
      <c r="P29" s="58"/>
      <c r="R29" s="15" t="s">
        <v>41</v>
      </c>
      <c r="S29" s="57"/>
      <c r="T29" s="58"/>
    </row>
    <row r="31" spans="1:20" ht="15.75" x14ac:dyDescent="0.25">
      <c r="A31" s="16" t="s">
        <v>81</v>
      </c>
      <c r="E31" s="16" t="s">
        <v>81</v>
      </c>
      <c r="I31" s="16" t="s">
        <v>81</v>
      </c>
      <c r="N31" s="16" t="s">
        <v>81</v>
      </c>
      <c r="R31" s="16" t="s">
        <v>81</v>
      </c>
    </row>
  </sheetData>
  <mergeCells count="40">
    <mergeCell ref="R1:T1"/>
    <mergeCell ref="A2:C2"/>
    <mergeCell ref="E2:G2"/>
    <mergeCell ref="I2:K2"/>
    <mergeCell ref="N2:P2"/>
    <mergeCell ref="R2:T2"/>
    <mergeCell ref="A1:C1"/>
    <mergeCell ref="E1:G1"/>
    <mergeCell ref="I1:K1"/>
    <mergeCell ref="N1:P1"/>
    <mergeCell ref="R3:T3"/>
    <mergeCell ref="A4:C4"/>
    <mergeCell ref="E4:G4"/>
    <mergeCell ref="I4:K4"/>
    <mergeCell ref="N4:P4"/>
    <mergeCell ref="R4:T4"/>
    <mergeCell ref="A3:C3"/>
    <mergeCell ref="E3:G3"/>
    <mergeCell ref="I3:K3"/>
    <mergeCell ref="N3:P3"/>
    <mergeCell ref="R21:T21"/>
    <mergeCell ref="A22:C22"/>
    <mergeCell ref="E22:G22"/>
    <mergeCell ref="I22:K22"/>
    <mergeCell ref="N22:P22"/>
    <mergeCell ref="R22:T22"/>
    <mergeCell ref="A21:C21"/>
    <mergeCell ref="E21:G21"/>
    <mergeCell ref="I21:K21"/>
    <mergeCell ref="N21:P21"/>
    <mergeCell ref="R25:S25"/>
    <mergeCell ref="A26:B26"/>
    <mergeCell ref="E26:F26"/>
    <mergeCell ref="I26:J26"/>
    <mergeCell ref="N26:O26"/>
    <mergeCell ref="R26:S26"/>
    <mergeCell ref="A25:B25"/>
    <mergeCell ref="E25:F25"/>
    <mergeCell ref="I25:J25"/>
    <mergeCell ref="N25:O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E205-B999-4B47-BF32-4B53DB783A90}">
  <dimension ref="A1:K34"/>
  <sheetViews>
    <sheetView topLeftCell="A4" zoomScaleNormal="100" workbookViewId="0">
      <selection activeCell="J27" sqref="J27"/>
    </sheetView>
  </sheetViews>
  <sheetFormatPr defaultColWidth="8.85546875" defaultRowHeight="15" outlineLevelRow="1" x14ac:dyDescent="0.25"/>
  <cols>
    <col min="1" max="1" width="19" style="19" customWidth="1"/>
    <col min="2" max="2" width="41.5703125" style="19" customWidth="1"/>
    <col min="3" max="3" width="19" style="19" customWidth="1"/>
    <col min="4" max="4" width="6.5703125" style="19" customWidth="1"/>
    <col min="5" max="5" width="18.7109375" style="19" customWidth="1"/>
    <col min="6" max="6" width="43.28515625" style="19" customWidth="1"/>
    <col min="7" max="7" width="21" style="19" customWidth="1"/>
    <col min="8" max="8" width="5.28515625" style="19" customWidth="1"/>
    <col min="9" max="9" width="19.28515625" style="19" customWidth="1"/>
    <col min="10" max="10" width="44.5703125" style="19" customWidth="1"/>
    <col min="11" max="11" width="18.42578125" style="19" customWidth="1"/>
    <col min="12" max="16384" width="8.85546875" style="19"/>
  </cols>
  <sheetData>
    <row r="1" spans="1:11" x14ac:dyDescent="0.25">
      <c r="A1" s="90"/>
      <c r="B1" s="90"/>
      <c r="C1" s="90"/>
      <c r="E1" s="90"/>
      <c r="F1" s="90"/>
      <c r="G1" s="90"/>
      <c r="I1" s="90"/>
      <c r="J1" s="90"/>
      <c r="K1" s="90"/>
    </row>
    <row r="2" spans="1:11" s="20" customFormat="1" ht="15.75" x14ac:dyDescent="0.25">
      <c r="A2" s="91" t="s">
        <v>0</v>
      </c>
      <c r="B2" s="91"/>
      <c r="C2" s="91"/>
      <c r="E2" s="91" t="s">
        <v>0</v>
      </c>
      <c r="F2" s="91"/>
      <c r="G2" s="91"/>
      <c r="I2" s="91" t="s">
        <v>0</v>
      </c>
      <c r="J2" s="91"/>
      <c r="K2" s="91"/>
    </row>
    <row r="3" spans="1:11" ht="15.75" x14ac:dyDescent="0.25">
      <c r="A3" s="82" t="s">
        <v>1</v>
      </c>
      <c r="B3" s="82"/>
      <c r="C3" s="82"/>
      <c r="E3" s="82" t="s">
        <v>1</v>
      </c>
      <c r="F3" s="82"/>
      <c r="G3" s="82"/>
      <c r="I3" s="82" t="s">
        <v>1</v>
      </c>
      <c r="J3" s="82"/>
      <c r="K3" s="82"/>
    </row>
    <row r="4" spans="1:11" ht="50.25" customHeight="1" x14ac:dyDescent="0.25">
      <c r="A4" s="89" t="s">
        <v>97</v>
      </c>
      <c r="B4" s="89"/>
      <c r="C4" s="89"/>
      <c r="E4" s="89" t="s">
        <v>98</v>
      </c>
      <c r="F4" s="89"/>
      <c r="G4" s="89"/>
      <c r="I4" s="89" t="s">
        <v>99</v>
      </c>
      <c r="J4" s="89"/>
      <c r="K4" s="89"/>
    </row>
    <row r="5" spans="1:11" x14ac:dyDescent="0.25">
      <c r="A5" s="21"/>
      <c r="B5" s="22"/>
      <c r="C5" s="22"/>
      <c r="E5" s="21"/>
      <c r="F5" s="22"/>
      <c r="G5" s="22"/>
      <c r="I5" s="21"/>
      <c r="J5" s="22"/>
      <c r="K5" s="22"/>
    </row>
    <row r="6" spans="1:11" ht="63" x14ac:dyDescent="0.25">
      <c r="A6" s="23" t="s">
        <v>32</v>
      </c>
      <c r="B6" s="23" t="s">
        <v>3</v>
      </c>
      <c r="C6" s="23" t="s">
        <v>4</v>
      </c>
      <c r="E6" s="23" t="s">
        <v>32</v>
      </c>
      <c r="F6" s="23" t="s">
        <v>3</v>
      </c>
      <c r="G6" s="23" t="s">
        <v>4</v>
      </c>
      <c r="I6" s="23" t="s">
        <v>32</v>
      </c>
      <c r="J6" s="23" t="s">
        <v>3</v>
      </c>
      <c r="K6" s="23" t="s">
        <v>4</v>
      </c>
    </row>
    <row r="7" spans="1:11" x14ac:dyDescent="0.25">
      <c r="A7" s="24">
        <v>1</v>
      </c>
      <c r="B7" s="24">
        <v>2</v>
      </c>
      <c r="C7" s="25">
        <v>3</v>
      </c>
      <c r="E7" s="24">
        <v>1</v>
      </c>
      <c r="F7" s="24">
        <v>2</v>
      </c>
      <c r="G7" s="25">
        <v>3</v>
      </c>
      <c r="I7" s="24">
        <v>1</v>
      </c>
      <c r="J7" s="24">
        <v>2</v>
      </c>
      <c r="K7" s="25">
        <v>3</v>
      </c>
    </row>
    <row r="8" spans="1:11" x14ac:dyDescent="0.25">
      <c r="A8" s="26" t="s">
        <v>5</v>
      </c>
      <c r="B8" s="27"/>
      <c r="C8" s="28"/>
      <c r="E8" s="26" t="s">
        <v>5</v>
      </c>
      <c r="F8" s="27"/>
      <c r="G8" s="28"/>
      <c r="I8" s="26" t="s">
        <v>5</v>
      </c>
      <c r="J8" s="27"/>
      <c r="K8" s="28"/>
    </row>
    <row r="9" spans="1:11" ht="38.25" x14ac:dyDescent="0.25">
      <c r="A9" s="4" t="s">
        <v>6</v>
      </c>
      <c r="B9" s="29" t="s">
        <v>42</v>
      </c>
      <c r="C9" s="30">
        <f>ROUND(6830/997/60*30,2)</f>
        <v>3.43</v>
      </c>
      <c r="E9" s="4" t="s">
        <v>6</v>
      </c>
      <c r="F9" s="29" t="s">
        <v>42</v>
      </c>
      <c r="G9" s="30">
        <f>ROUND(6830/997/60*30,2)</f>
        <v>3.43</v>
      </c>
      <c r="I9" s="4" t="s">
        <v>6</v>
      </c>
      <c r="J9" s="29" t="s">
        <v>46</v>
      </c>
      <c r="K9" s="30">
        <f>ROUND(6830/997/60*20,2)</f>
        <v>2.2799999999999998</v>
      </c>
    </row>
    <row r="10" spans="1:11" ht="51" x14ac:dyDescent="0.25">
      <c r="A10" s="4" t="s">
        <v>6</v>
      </c>
      <c r="B10" s="9" t="s">
        <v>47</v>
      </c>
      <c r="C10" s="6">
        <f>ROUND(((30448/1994)+(6486/997))/2/60*5,2)</f>
        <v>0.91</v>
      </c>
      <c r="E10" s="4" t="s">
        <v>6</v>
      </c>
      <c r="F10" s="9" t="s">
        <v>47</v>
      </c>
      <c r="G10" s="6">
        <f>ROUND(((30448/1994)+(6486/997))/2/60*5,2)</f>
        <v>0.91</v>
      </c>
      <c r="I10" s="4" t="s">
        <v>6</v>
      </c>
      <c r="J10" s="9" t="s">
        <v>47</v>
      </c>
      <c r="K10" s="6">
        <f>ROUND(((30448/1994)+(6486/997))/2/60*5,2)</f>
        <v>0.91</v>
      </c>
    </row>
    <row r="11" spans="1:11" ht="63.75" x14ac:dyDescent="0.25">
      <c r="A11" s="31" t="s">
        <v>24</v>
      </c>
      <c r="B11" s="32" t="s">
        <v>53</v>
      </c>
      <c r="C11" s="33">
        <f>ROUND(2258/377.2/250*41.8+3.4,2)</f>
        <v>4.4000000000000004</v>
      </c>
      <c r="E11" s="31" t="s">
        <v>24</v>
      </c>
      <c r="F11" s="32" t="s">
        <v>61</v>
      </c>
      <c r="G11" s="33">
        <f>ROUND(2258/377.2/1994*41.8+0.65,2)</f>
        <v>0.78</v>
      </c>
      <c r="I11" s="31" t="s">
        <v>24</v>
      </c>
      <c r="J11" s="67" t="s">
        <v>66</v>
      </c>
      <c r="K11" s="33">
        <f>ROUND(2258/377.2/1994*26.3+3.1,2)</f>
        <v>3.18</v>
      </c>
    </row>
    <row r="12" spans="1:11" ht="63.75" x14ac:dyDescent="0.25">
      <c r="A12" s="24" t="s">
        <v>33</v>
      </c>
      <c r="B12" s="34" t="s">
        <v>54</v>
      </c>
      <c r="C12" s="35">
        <f>ROUND(6492/377.2/250*41.8,2)</f>
        <v>2.88</v>
      </c>
      <c r="E12" s="24" t="s">
        <v>33</v>
      </c>
      <c r="F12" s="34" t="s">
        <v>62</v>
      </c>
      <c r="G12" s="35">
        <f>ROUND(6492/377.2/1994*41.8,2)</f>
        <v>0.36</v>
      </c>
      <c r="I12" s="24" t="s">
        <v>33</v>
      </c>
      <c r="J12" s="34" t="s">
        <v>65</v>
      </c>
      <c r="K12" s="35">
        <f>ROUND(6492/377.2/1994*26.3,2)</f>
        <v>0.23</v>
      </c>
    </row>
    <row r="13" spans="1:11" ht="25.5" x14ac:dyDescent="0.25">
      <c r="A13" s="24" t="s">
        <v>44</v>
      </c>
      <c r="B13" s="24" t="s">
        <v>45</v>
      </c>
      <c r="C13" s="35">
        <f>4.51</f>
        <v>4.51</v>
      </c>
      <c r="E13" s="24" t="s">
        <v>44</v>
      </c>
      <c r="F13" s="24" t="s">
        <v>45</v>
      </c>
      <c r="G13" s="35">
        <f>ROUND(0.53,2)</f>
        <v>0.53</v>
      </c>
      <c r="I13" s="24" t="s">
        <v>44</v>
      </c>
      <c r="J13" s="24" t="s">
        <v>45</v>
      </c>
      <c r="K13" s="35">
        <v>0.78</v>
      </c>
    </row>
    <row r="14" spans="1:11" ht="25.5" x14ac:dyDescent="0.25">
      <c r="A14" s="24" t="s">
        <v>34</v>
      </c>
      <c r="B14" s="24" t="s">
        <v>43</v>
      </c>
      <c r="C14" s="35">
        <v>3</v>
      </c>
      <c r="E14" s="24" t="s">
        <v>34</v>
      </c>
      <c r="F14" s="24" t="s">
        <v>43</v>
      </c>
      <c r="G14" s="35">
        <f>ROUND(0.48,2)</f>
        <v>0.48</v>
      </c>
      <c r="I14" s="24" t="s">
        <v>34</v>
      </c>
      <c r="J14" s="24" t="s">
        <v>43</v>
      </c>
      <c r="K14" s="35">
        <v>0.6</v>
      </c>
    </row>
    <row r="15" spans="1:11" ht="25.5" x14ac:dyDescent="0.25">
      <c r="A15" s="44" t="s">
        <v>7</v>
      </c>
      <c r="B15" s="45"/>
      <c r="C15" s="46">
        <f>SUM(C8:C14)</f>
        <v>19.130000000000003</v>
      </c>
      <c r="E15" s="44" t="s">
        <v>7</v>
      </c>
      <c r="F15" s="45"/>
      <c r="G15" s="46">
        <f>SUM(G9:G14)</f>
        <v>6.49</v>
      </c>
      <c r="I15" s="44" t="s">
        <v>7</v>
      </c>
      <c r="J15" s="45"/>
      <c r="K15" s="46">
        <f>SUM(K8:K14)</f>
        <v>7.98</v>
      </c>
    </row>
    <row r="16" spans="1:11" x14ac:dyDescent="0.25">
      <c r="A16" s="36" t="s">
        <v>8</v>
      </c>
      <c r="B16" s="24"/>
      <c r="C16" s="37"/>
      <c r="E16" s="36" t="s">
        <v>8</v>
      </c>
      <c r="F16" s="24"/>
      <c r="G16" s="37"/>
      <c r="I16" s="36" t="s">
        <v>8</v>
      </c>
      <c r="J16" s="24"/>
      <c r="K16" s="37"/>
    </row>
    <row r="17" spans="1:11" ht="51" x14ac:dyDescent="0.25">
      <c r="A17" s="24" t="s">
        <v>35</v>
      </c>
      <c r="B17" s="34" t="s">
        <v>63</v>
      </c>
      <c r="C17" s="35">
        <f>ROUND(533.7/377.2*41.8/20,2)</f>
        <v>2.96</v>
      </c>
      <c r="E17" s="24" t="s">
        <v>35</v>
      </c>
      <c r="F17" s="34" t="s">
        <v>63</v>
      </c>
      <c r="G17" s="35">
        <f>ROUND(533.7/377.2/166*41.8,2)</f>
        <v>0.36</v>
      </c>
      <c r="I17" s="24" t="s">
        <v>35</v>
      </c>
      <c r="J17" s="34" t="s">
        <v>80</v>
      </c>
      <c r="K17" s="35">
        <f>ROUND(533.7/377.2*26.3/166,2)</f>
        <v>0.22</v>
      </c>
    </row>
    <row r="18" spans="1:11" ht="25.5" x14ac:dyDescent="0.25">
      <c r="A18" s="24" t="s">
        <v>10</v>
      </c>
      <c r="B18" s="24" t="s">
        <v>31</v>
      </c>
      <c r="C18" s="37">
        <f>ROUND(C15*0.1,2)</f>
        <v>1.91</v>
      </c>
      <c r="E18" s="24" t="s">
        <v>10</v>
      </c>
      <c r="F18" s="24" t="s">
        <v>31</v>
      </c>
      <c r="G18" s="37">
        <f>ROUND(G15*0.1,2)</f>
        <v>0.65</v>
      </c>
      <c r="I18" s="24" t="s">
        <v>10</v>
      </c>
      <c r="J18" s="24" t="s">
        <v>31</v>
      </c>
      <c r="K18" s="37">
        <f>K15*0.1</f>
        <v>0.79800000000000004</v>
      </c>
    </row>
    <row r="19" spans="1:11" ht="25.5" x14ac:dyDescent="0.25">
      <c r="A19" s="44" t="s">
        <v>11</v>
      </c>
      <c r="B19" s="45"/>
      <c r="C19" s="46">
        <f>SUM(C16:C18)</f>
        <v>4.87</v>
      </c>
      <c r="E19" s="44" t="s">
        <v>11</v>
      </c>
      <c r="F19" s="45"/>
      <c r="G19" s="46">
        <f>SUM(G17:G18)</f>
        <v>1.01</v>
      </c>
      <c r="I19" s="44" t="s">
        <v>11</v>
      </c>
      <c r="J19" s="45"/>
      <c r="K19" s="46">
        <f>SUM(K16:K18)</f>
        <v>1.018</v>
      </c>
    </row>
    <row r="20" spans="1:11" ht="25.5" x14ac:dyDescent="0.25">
      <c r="A20" s="50" t="s">
        <v>12</v>
      </c>
      <c r="B20" s="51"/>
      <c r="C20" s="52">
        <f>C15+C19</f>
        <v>24.000000000000004</v>
      </c>
      <c r="E20" s="50" t="s">
        <v>12</v>
      </c>
      <c r="F20" s="51"/>
      <c r="G20" s="52">
        <f>G15+G19</f>
        <v>7.5</v>
      </c>
      <c r="I20" s="50" t="s">
        <v>12</v>
      </c>
      <c r="J20" s="51"/>
      <c r="K20" s="52">
        <f>K15+K19</f>
        <v>8.9980000000000011</v>
      </c>
    </row>
    <row r="21" spans="1:11" ht="15.75" hidden="1" outlineLevel="1" x14ac:dyDescent="0.25">
      <c r="A21" s="53" t="s">
        <v>13</v>
      </c>
      <c r="B21" s="54">
        <v>0.21</v>
      </c>
      <c r="C21" s="55">
        <f>C20*B21</f>
        <v>5.0400000000000009</v>
      </c>
      <c r="E21" s="53" t="s">
        <v>13</v>
      </c>
      <c r="F21" s="54">
        <v>0.21</v>
      </c>
      <c r="G21" s="55">
        <f>G20*F21</f>
        <v>1.575</v>
      </c>
      <c r="I21" s="53" t="s">
        <v>13</v>
      </c>
      <c r="J21" s="54">
        <v>0.21</v>
      </c>
      <c r="K21" s="55">
        <f>K20*J21</f>
        <v>1.8895800000000003</v>
      </c>
    </row>
    <row r="22" spans="1:11" ht="15.75" hidden="1" outlineLevel="1" x14ac:dyDescent="0.25">
      <c r="A22" s="53" t="s">
        <v>14</v>
      </c>
      <c r="B22" s="56"/>
      <c r="C22" s="55">
        <f>C20+C21</f>
        <v>29.040000000000006</v>
      </c>
      <c r="D22" s="19" t="s">
        <v>60</v>
      </c>
      <c r="E22" s="53" t="s">
        <v>14</v>
      </c>
      <c r="F22" s="56"/>
      <c r="G22" s="55">
        <f>G20+G21</f>
        <v>9.0749999999999993</v>
      </c>
      <c r="H22" s="19" t="s">
        <v>64</v>
      </c>
      <c r="I22" s="53" t="s">
        <v>14</v>
      </c>
      <c r="J22" s="56"/>
      <c r="K22" s="55">
        <f>K20+K21</f>
        <v>10.887580000000002</v>
      </c>
    </row>
    <row r="23" spans="1:11" ht="15" hidden="1" customHeight="1" outlineLevel="1" x14ac:dyDescent="0.25">
      <c r="A23" s="38"/>
      <c r="B23" s="22"/>
      <c r="C23" s="22"/>
      <c r="E23" s="38"/>
      <c r="F23" s="22"/>
      <c r="G23" s="22"/>
      <c r="I23" s="38"/>
      <c r="J23" s="22"/>
      <c r="K23" s="22"/>
    </row>
    <row r="24" spans="1:11" ht="37.9" hidden="1" customHeight="1" outlineLevel="1" x14ac:dyDescent="0.25">
      <c r="A24" s="87" t="s">
        <v>15</v>
      </c>
      <c r="B24" s="87"/>
      <c r="C24" s="87"/>
      <c r="E24" s="87" t="s">
        <v>15</v>
      </c>
      <c r="F24" s="87"/>
      <c r="G24" s="87"/>
      <c r="I24" s="87" t="s">
        <v>15</v>
      </c>
      <c r="J24" s="87"/>
      <c r="K24" s="87"/>
    </row>
    <row r="25" spans="1:11" ht="30.75" hidden="1" customHeight="1" outlineLevel="1" x14ac:dyDescent="0.25">
      <c r="A25" s="88"/>
      <c r="B25" s="88"/>
      <c r="C25" s="88"/>
      <c r="E25" s="88"/>
      <c r="F25" s="88"/>
      <c r="G25" s="88"/>
      <c r="I25" s="88"/>
      <c r="J25" s="88"/>
      <c r="K25" s="88"/>
    </row>
    <row r="26" spans="1:11" ht="24" hidden="1" customHeight="1" outlineLevel="1" x14ac:dyDescent="0.25">
      <c r="A26" s="38"/>
      <c r="B26" s="22"/>
      <c r="C26" s="22"/>
      <c r="E26" s="38"/>
      <c r="F26" s="22"/>
      <c r="G26" s="22"/>
      <c r="I26" s="38"/>
      <c r="J26" s="22"/>
      <c r="K26" s="22"/>
    </row>
    <row r="27" spans="1:11" ht="21" customHeight="1" collapsed="1" x14ac:dyDescent="0.25">
      <c r="A27" s="38"/>
      <c r="B27" s="22"/>
      <c r="C27" s="22"/>
      <c r="E27" s="38"/>
      <c r="F27" s="22"/>
      <c r="G27" s="22"/>
      <c r="I27" s="38"/>
      <c r="J27" s="22"/>
      <c r="K27" s="22"/>
    </row>
    <row r="28" spans="1:11" ht="15.75" x14ac:dyDescent="0.25">
      <c r="A28" s="86" t="s">
        <v>16</v>
      </c>
      <c r="B28" s="86"/>
      <c r="C28" s="39">
        <v>60</v>
      </c>
      <c r="E28" s="86" t="s">
        <v>16</v>
      </c>
      <c r="F28" s="86"/>
      <c r="G28" s="39">
        <v>2</v>
      </c>
      <c r="I28" s="86" t="s">
        <v>16</v>
      </c>
      <c r="J28" s="86"/>
      <c r="K28" s="39">
        <v>2</v>
      </c>
    </row>
    <row r="29" spans="1:11" ht="15.75" x14ac:dyDescent="0.25">
      <c r="A29" s="86" t="s">
        <v>17</v>
      </c>
      <c r="B29" s="86"/>
      <c r="C29" s="40">
        <f>C22*C28</f>
        <v>1742.4000000000003</v>
      </c>
      <c r="E29" s="86" t="s">
        <v>17</v>
      </c>
      <c r="F29" s="86"/>
      <c r="G29" s="40">
        <f>ROUND(G22*G28,0)</f>
        <v>18</v>
      </c>
      <c r="I29" s="86" t="s">
        <v>17</v>
      </c>
      <c r="J29" s="86"/>
      <c r="K29" s="40">
        <f>ROUND(K22*K28,0)</f>
        <v>22</v>
      </c>
    </row>
    <row r="30" spans="1:11" x14ac:dyDescent="0.25">
      <c r="A30" s="41"/>
      <c r="E30" s="41"/>
      <c r="I30" s="41"/>
    </row>
    <row r="31" spans="1:11" ht="15.75" x14ac:dyDescent="0.25">
      <c r="A31" s="14" t="s">
        <v>40</v>
      </c>
      <c r="B31" s="14"/>
      <c r="C31" s="14"/>
      <c r="E31" s="14" t="s">
        <v>40</v>
      </c>
      <c r="F31" s="14"/>
      <c r="G31" s="14"/>
      <c r="I31" s="14" t="s">
        <v>40</v>
      </c>
      <c r="J31" s="14"/>
      <c r="K31" s="14"/>
    </row>
    <row r="32" spans="1:11" ht="15.75" x14ac:dyDescent="0.25">
      <c r="A32" s="15" t="s">
        <v>41</v>
      </c>
      <c r="B32" s="57"/>
      <c r="C32" s="58"/>
      <c r="E32" s="15" t="s">
        <v>41</v>
      </c>
      <c r="F32" s="57"/>
      <c r="G32" s="58"/>
      <c r="I32" s="15" t="s">
        <v>41</v>
      </c>
      <c r="J32" s="57"/>
      <c r="K32" s="58"/>
    </row>
    <row r="33" spans="1:11" ht="18" customHeight="1" x14ac:dyDescent="0.25">
      <c r="A33"/>
      <c r="B33"/>
      <c r="C33"/>
      <c r="E33"/>
      <c r="F33"/>
      <c r="G33"/>
      <c r="I33"/>
      <c r="J33"/>
      <c r="K33"/>
    </row>
    <row r="34" spans="1:11" ht="15.75" x14ac:dyDescent="0.25">
      <c r="A34" s="16" t="s">
        <v>81</v>
      </c>
      <c r="B34"/>
      <c r="C34"/>
      <c r="E34" s="16" t="s">
        <v>81</v>
      </c>
      <c r="F34"/>
      <c r="G34"/>
      <c r="I34" s="16" t="s">
        <v>81</v>
      </c>
      <c r="J34"/>
      <c r="K34"/>
    </row>
  </sheetData>
  <mergeCells count="24">
    <mergeCell ref="A1:C1"/>
    <mergeCell ref="E1:G1"/>
    <mergeCell ref="I1:K1"/>
    <mergeCell ref="A2:C2"/>
    <mergeCell ref="E2:G2"/>
    <mergeCell ref="I2:K2"/>
    <mergeCell ref="A3:C3"/>
    <mergeCell ref="E3:G3"/>
    <mergeCell ref="I3:K3"/>
    <mergeCell ref="A4:C4"/>
    <mergeCell ref="E4:G4"/>
    <mergeCell ref="I4:K4"/>
    <mergeCell ref="A24:C24"/>
    <mergeCell ref="E24:G24"/>
    <mergeCell ref="I24:K24"/>
    <mergeCell ref="A25:C25"/>
    <mergeCell ref="E25:G25"/>
    <mergeCell ref="I25:K25"/>
    <mergeCell ref="A28:B28"/>
    <mergeCell ref="E28:F28"/>
    <mergeCell ref="I28:J28"/>
    <mergeCell ref="A29:B29"/>
    <mergeCell ref="E29:F29"/>
    <mergeCell ref="I29:J2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C1C-AD96-410E-AE67-23B90378EDF9}">
  <dimension ref="A1:K31"/>
  <sheetViews>
    <sheetView topLeftCell="A7" workbookViewId="0">
      <selection activeCell="G12" sqref="G12"/>
    </sheetView>
  </sheetViews>
  <sheetFormatPr defaultRowHeight="15" outlineLevelRow="1" x14ac:dyDescent="0.25"/>
  <cols>
    <col min="1" max="1" width="19" style="19" customWidth="1"/>
    <col min="2" max="2" width="38.28515625" style="19" customWidth="1"/>
    <col min="3" max="3" width="18.140625" style="19" customWidth="1"/>
    <col min="4" max="4" width="4.5703125" customWidth="1"/>
    <col min="5" max="5" width="19.42578125" style="19" customWidth="1"/>
    <col min="6" max="6" width="38.28515625" style="19" customWidth="1"/>
    <col min="7" max="7" width="21" style="19" customWidth="1"/>
    <col min="8" max="8" width="4.7109375" customWidth="1"/>
    <col min="9" max="9" width="19.42578125" style="19" customWidth="1"/>
    <col min="10" max="10" width="45.85546875" style="19" customWidth="1"/>
    <col min="11" max="11" width="16.28515625" style="19" customWidth="1"/>
  </cols>
  <sheetData>
    <row r="1" spans="1:11" x14ac:dyDescent="0.25">
      <c r="A1" s="90"/>
      <c r="B1" s="90"/>
      <c r="C1" s="90"/>
      <c r="E1" s="90"/>
      <c r="F1" s="90"/>
      <c r="G1" s="90"/>
      <c r="I1" s="90"/>
      <c r="J1" s="90"/>
      <c r="K1" s="90"/>
    </row>
    <row r="2" spans="1:11" ht="15.75" x14ac:dyDescent="0.25">
      <c r="A2" s="91" t="s">
        <v>0</v>
      </c>
      <c r="B2" s="91"/>
      <c r="C2" s="91"/>
      <c r="E2" s="91" t="s">
        <v>0</v>
      </c>
      <c r="F2" s="91"/>
      <c r="G2" s="91"/>
      <c r="I2" s="91" t="s">
        <v>0</v>
      </c>
      <c r="J2" s="91"/>
      <c r="K2" s="91"/>
    </row>
    <row r="3" spans="1:11" ht="15.75" x14ac:dyDescent="0.25">
      <c r="A3" s="82" t="s">
        <v>1</v>
      </c>
      <c r="B3" s="82"/>
      <c r="C3" s="82"/>
      <c r="E3" s="82" t="s">
        <v>1</v>
      </c>
      <c r="F3" s="82"/>
      <c r="G3" s="82"/>
      <c r="I3" s="82" t="s">
        <v>1</v>
      </c>
      <c r="J3" s="82"/>
      <c r="K3" s="82"/>
    </row>
    <row r="4" spans="1:11" ht="38.25" customHeight="1" x14ac:dyDescent="0.25">
      <c r="A4" s="89" t="s">
        <v>36</v>
      </c>
      <c r="B4" s="89"/>
      <c r="C4" s="89"/>
      <c r="E4" s="89" t="s">
        <v>37</v>
      </c>
      <c r="F4" s="89"/>
      <c r="G4" s="89"/>
      <c r="I4" s="89" t="s">
        <v>38</v>
      </c>
      <c r="J4" s="89"/>
      <c r="K4" s="89"/>
    </row>
    <row r="5" spans="1:11" x14ac:dyDescent="0.25">
      <c r="A5" s="21"/>
      <c r="B5" s="22"/>
      <c r="C5" s="22"/>
      <c r="E5" s="21"/>
      <c r="F5" s="22"/>
      <c r="G5" s="22"/>
      <c r="I5" s="21"/>
      <c r="J5" s="22"/>
      <c r="K5" s="22"/>
    </row>
    <row r="6" spans="1:11" ht="63" x14ac:dyDescent="0.25">
      <c r="A6" s="23" t="s">
        <v>32</v>
      </c>
      <c r="B6" s="23" t="s">
        <v>3</v>
      </c>
      <c r="C6" s="23" t="s">
        <v>4</v>
      </c>
      <c r="E6" s="23" t="s">
        <v>32</v>
      </c>
      <c r="F6" s="23" t="s">
        <v>3</v>
      </c>
      <c r="G6" s="23" t="s">
        <v>4</v>
      </c>
      <c r="I6" s="23" t="s">
        <v>32</v>
      </c>
      <c r="J6" s="23" t="s">
        <v>3</v>
      </c>
      <c r="K6" s="23" t="s">
        <v>4</v>
      </c>
    </row>
    <row r="7" spans="1:11" x14ac:dyDescent="0.25">
      <c r="A7" s="24">
        <v>1</v>
      </c>
      <c r="B7" s="24">
        <v>2</v>
      </c>
      <c r="C7" s="25">
        <v>3</v>
      </c>
      <c r="E7" s="24">
        <v>1</v>
      </c>
      <c r="F7" s="24">
        <v>2</v>
      </c>
      <c r="G7" s="25">
        <v>3</v>
      </c>
      <c r="I7" s="24">
        <v>1</v>
      </c>
      <c r="J7" s="24">
        <v>2</v>
      </c>
      <c r="K7" s="25">
        <v>3</v>
      </c>
    </row>
    <row r="8" spans="1:11" x14ac:dyDescent="0.25">
      <c r="A8" s="26" t="s">
        <v>5</v>
      </c>
      <c r="B8" s="27"/>
      <c r="C8" s="28"/>
      <c r="E8" s="26" t="s">
        <v>5</v>
      </c>
      <c r="F8" s="27"/>
      <c r="G8" s="28"/>
      <c r="I8" s="26" t="s">
        <v>5</v>
      </c>
      <c r="J8" s="27"/>
      <c r="K8" s="28"/>
    </row>
    <row r="9" spans="1:11" ht="25.5" customHeight="1" x14ac:dyDescent="0.25">
      <c r="A9" s="26"/>
      <c r="B9" s="68"/>
      <c r="C9" s="28"/>
      <c r="E9" s="47" t="s">
        <v>6</v>
      </c>
      <c r="F9" s="29" t="s">
        <v>82</v>
      </c>
      <c r="G9" s="30">
        <f>ROUND(12055/1994*2,2)</f>
        <v>12.09</v>
      </c>
      <c r="I9" s="26"/>
      <c r="J9" s="68"/>
      <c r="K9" s="28"/>
    </row>
    <row r="10" spans="1:11" ht="51" x14ac:dyDescent="0.25">
      <c r="A10" s="47" t="s">
        <v>6</v>
      </c>
      <c r="B10" s="29" t="s">
        <v>82</v>
      </c>
      <c r="C10" s="30">
        <f>ROUND(12055/1994*2,2)</f>
        <v>12.09</v>
      </c>
      <c r="E10" s="47" t="s">
        <v>6</v>
      </c>
      <c r="F10" s="9" t="s">
        <v>83</v>
      </c>
      <c r="G10" s="6">
        <f>ROUND(((30448/1994)+(6486/997))/2/60*30,2)</f>
        <v>5.44</v>
      </c>
      <c r="I10" s="47" t="s">
        <v>6</v>
      </c>
      <c r="J10" s="29" t="s">
        <v>82</v>
      </c>
      <c r="K10" s="30">
        <f>ROUND(12055/1994/60*1.5,2)</f>
        <v>0.15</v>
      </c>
    </row>
    <row r="11" spans="1:11" ht="51" x14ac:dyDescent="0.25">
      <c r="A11" s="47" t="s">
        <v>6</v>
      </c>
      <c r="B11" s="77" t="s">
        <v>83</v>
      </c>
      <c r="C11" s="59">
        <f>ROUND(((30448/1994)+(6486/997))/2/60*30,2)</f>
        <v>5.44</v>
      </c>
      <c r="E11" s="31" t="s">
        <v>24</v>
      </c>
      <c r="F11" s="67" t="s">
        <v>39</v>
      </c>
      <c r="G11" s="92">
        <f>4.25*1.7</f>
        <v>7.2249999999999996</v>
      </c>
      <c r="I11" s="47" t="s">
        <v>6</v>
      </c>
      <c r="J11" s="4" t="s">
        <v>67</v>
      </c>
      <c r="K11" s="6">
        <f>ROUND(((30448/1994)+(6486/997))/2/60*5,2)</f>
        <v>0.91</v>
      </c>
    </row>
    <row r="12" spans="1:11" ht="25.5" x14ac:dyDescent="0.25">
      <c r="A12" s="31" t="s">
        <v>68</v>
      </c>
      <c r="B12" s="32" t="s">
        <v>69</v>
      </c>
      <c r="C12" s="59">
        <f>0.2</f>
        <v>0.2</v>
      </c>
      <c r="E12" s="31" t="s">
        <v>68</v>
      </c>
      <c r="F12" s="32" t="s">
        <v>69</v>
      </c>
      <c r="G12" s="33">
        <f>0.24</f>
        <v>0.24</v>
      </c>
      <c r="I12" s="31" t="s">
        <v>68</v>
      </c>
      <c r="J12" s="32" t="s">
        <v>69</v>
      </c>
      <c r="K12" s="33">
        <f>0.3</f>
        <v>0.3</v>
      </c>
    </row>
    <row r="13" spans="1:11" x14ac:dyDescent="0.25">
      <c r="A13" s="44" t="s">
        <v>7</v>
      </c>
      <c r="B13" s="45"/>
      <c r="C13" s="46">
        <f>SUM(C8:C12)</f>
        <v>17.73</v>
      </c>
      <c r="E13" s="44" t="s">
        <v>7</v>
      </c>
      <c r="F13" s="45"/>
      <c r="G13" s="46">
        <f>SUM(G8:G12)</f>
        <v>24.995000000000001</v>
      </c>
      <c r="I13" s="44" t="s">
        <v>7</v>
      </c>
      <c r="J13" s="45"/>
      <c r="K13" s="46">
        <f>SUM(K8:K12)</f>
        <v>1.36</v>
      </c>
    </row>
    <row r="14" spans="1:11" x14ac:dyDescent="0.25">
      <c r="A14" s="36" t="s">
        <v>8</v>
      </c>
      <c r="B14" s="24"/>
      <c r="C14" s="42"/>
      <c r="E14" s="36" t="s">
        <v>8</v>
      </c>
      <c r="F14" s="24"/>
      <c r="G14" s="42"/>
      <c r="I14" s="36" t="s">
        <v>8</v>
      </c>
      <c r="J14" s="24"/>
      <c r="K14" s="42"/>
    </row>
    <row r="15" spans="1:11" ht="25.5" x14ac:dyDescent="0.25">
      <c r="A15" s="24" t="s">
        <v>10</v>
      </c>
      <c r="B15" s="27" t="s">
        <v>31</v>
      </c>
      <c r="C15" s="60">
        <f>C13*0.1</f>
        <v>1.7730000000000001</v>
      </c>
      <c r="E15" s="24" t="s">
        <v>10</v>
      </c>
      <c r="F15" s="27" t="s">
        <v>31</v>
      </c>
      <c r="G15" s="60">
        <f>ROUND(G13*0.1,2)</f>
        <v>2.5</v>
      </c>
      <c r="I15" s="24" t="s">
        <v>10</v>
      </c>
      <c r="J15" s="27" t="s">
        <v>31</v>
      </c>
      <c r="K15" s="60">
        <f>K13*0.1</f>
        <v>0.13600000000000001</v>
      </c>
    </row>
    <row r="16" spans="1:11" ht="25.5" x14ac:dyDescent="0.25">
      <c r="A16" s="44" t="s">
        <v>11</v>
      </c>
      <c r="B16" s="45"/>
      <c r="C16" s="46">
        <f>SUM(C14:C15)</f>
        <v>1.7730000000000001</v>
      </c>
      <c r="E16" s="44" t="s">
        <v>11</v>
      </c>
      <c r="F16" s="45"/>
      <c r="G16" s="46">
        <f>SUM(G14:G15)</f>
        <v>2.5</v>
      </c>
      <c r="I16" s="44" t="s">
        <v>11</v>
      </c>
      <c r="J16" s="45"/>
      <c r="K16" s="46">
        <f>SUM(K14:K15)</f>
        <v>0.13600000000000001</v>
      </c>
    </row>
    <row r="17" spans="1:11" ht="25.5" x14ac:dyDescent="0.25">
      <c r="A17" s="50" t="s">
        <v>12</v>
      </c>
      <c r="B17" s="51"/>
      <c r="C17" s="52">
        <f>C13+C16</f>
        <v>19.503</v>
      </c>
      <c r="E17" s="50" t="s">
        <v>12</v>
      </c>
      <c r="F17" s="51"/>
      <c r="G17" s="52">
        <f>G13+G16</f>
        <v>27.495000000000001</v>
      </c>
      <c r="I17" s="50" t="s">
        <v>12</v>
      </c>
      <c r="J17" s="51"/>
      <c r="K17" s="52">
        <f>K13+K16</f>
        <v>1.496</v>
      </c>
    </row>
    <row r="18" spans="1:11" ht="15.75" hidden="1" outlineLevel="1" x14ac:dyDescent="0.25">
      <c r="A18" s="53" t="s">
        <v>13</v>
      </c>
      <c r="B18" s="54">
        <v>0.21</v>
      </c>
      <c r="C18" s="55">
        <f>C17*B18</f>
        <v>4.0956299999999999</v>
      </c>
      <c r="E18" s="53" t="s">
        <v>13</v>
      </c>
      <c r="F18" s="54">
        <v>0.21</v>
      </c>
      <c r="G18" s="55">
        <f>G17*F18</f>
        <v>5.7739500000000001</v>
      </c>
      <c r="I18" s="53" t="s">
        <v>13</v>
      </c>
      <c r="J18" s="54">
        <v>0.21</v>
      </c>
      <c r="K18" s="55">
        <f>K17*J18</f>
        <v>0.31415999999999999</v>
      </c>
    </row>
    <row r="19" spans="1:11" ht="15.75" hidden="1" outlineLevel="1" x14ac:dyDescent="0.25">
      <c r="A19" s="53" t="s">
        <v>14</v>
      </c>
      <c r="B19" s="56"/>
      <c r="C19" s="55">
        <f>C17+C18</f>
        <v>23.59863</v>
      </c>
      <c r="E19" s="53" t="s">
        <v>14</v>
      </c>
      <c r="F19" s="56"/>
      <c r="G19" s="55">
        <f>G17+G18</f>
        <v>33.268950000000004</v>
      </c>
      <c r="I19" s="53" t="s">
        <v>14</v>
      </c>
      <c r="J19" s="56"/>
      <c r="K19" s="55">
        <f>K17+K18</f>
        <v>1.81016</v>
      </c>
    </row>
    <row r="20" spans="1:11" hidden="1" outlineLevel="1" x14ac:dyDescent="0.25">
      <c r="A20" s="38"/>
      <c r="B20" s="22"/>
      <c r="C20" s="22"/>
      <c r="E20" s="38"/>
      <c r="F20" s="22"/>
      <c r="G20" s="22"/>
      <c r="I20" s="38"/>
      <c r="J20" s="22"/>
      <c r="K20" s="22"/>
    </row>
    <row r="21" spans="1:11" ht="45.6" hidden="1" customHeight="1" outlineLevel="1" x14ac:dyDescent="0.25">
      <c r="A21" s="87" t="s">
        <v>15</v>
      </c>
      <c r="B21" s="87"/>
      <c r="C21" s="87"/>
      <c r="E21" s="87" t="s">
        <v>15</v>
      </c>
      <c r="F21" s="87"/>
      <c r="G21" s="87"/>
      <c r="I21" s="87" t="s">
        <v>15</v>
      </c>
      <c r="J21" s="87"/>
      <c r="K21" s="87"/>
    </row>
    <row r="22" spans="1:11" hidden="1" outlineLevel="1" x14ac:dyDescent="0.25">
      <c r="A22" s="88"/>
      <c r="B22" s="88"/>
      <c r="C22" s="88"/>
      <c r="E22" s="88"/>
      <c r="F22" s="88"/>
      <c r="G22" s="88"/>
      <c r="I22" s="88"/>
      <c r="J22" s="88"/>
      <c r="K22" s="88"/>
    </row>
    <row r="23" spans="1:11" ht="39" customHeight="1" collapsed="1" x14ac:dyDescent="0.25">
      <c r="A23" s="38"/>
      <c r="B23" s="22"/>
      <c r="C23" s="22"/>
      <c r="E23" s="38"/>
      <c r="F23" s="22"/>
      <c r="G23" s="22"/>
      <c r="I23" s="38"/>
      <c r="J23" s="22"/>
      <c r="K23" s="22"/>
    </row>
    <row r="24" spans="1:11" x14ac:dyDescent="0.25">
      <c r="A24" s="38"/>
      <c r="B24" s="22"/>
      <c r="C24" s="22"/>
      <c r="E24" s="38"/>
      <c r="F24" s="22"/>
      <c r="G24" s="22"/>
      <c r="I24" s="38"/>
      <c r="J24" s="22"/>
      <c r="K24" s="22"/>
    </row>
    <row r="25" spans="1:11" ht="15.75" x14ac:dyDescent="0.25">
      <c r="A25" s="86" t="s">
        <v>16</v>
      </c>
      <c r="B25" s="86"/>
      <c r="C25" s="39">
        <v>2</v>
      </c>
      <c r="E25" s="86" t="s">
        <v>16</v>
      </c>
      <c r="F25" s="86"/>
      <c r="G25" s="39">
        <v>2</v>
      </c>
      <c r="I25" s="86" t="s">
        <v>16</v>
      </c>
      <c r="J25" s="86"/>
      <c r="K25" s="39">
        <v>80</v>
      </c>
    </row>
    <row r="26" spans="1:11" ht="15.75" x14ac:dyDescent="0.25">
      <c r="A26" s="86" t="s">
        <v>17</v>
      </c>
      <c r="B26" s="86"/>
      <c r="C26" s="40">
        <f>C19*C25</f>
        <v>47.19726</v>
      </c>
      <c r="E26" s="86" t="s">
        <v>17</v>
      </c>
      <c r="F26" s="86"/>
      <c r="G26" s="40">
        <f>G19*G25</f>
        <v>66.537900000000008</v>
      </c>
      <c r="I26" s="86" t="s">
        <v>17</v>
      </c>
      <c r="J26" s="86"/>
      <c r="K26" s="40">
        <f>K19*K25</f>
        <v>144.81280000000001</v>
      </c>
    </row>
    <row r="27" spans="1:11" x14ac:dyDescent="0.25">
      <c r="A27" s="41"/>
      <c r="E27" s="41"/>
      <c r="I27" s="41"/>
    </row>
    <row r="28" spans="1:11" ht="15.75" x14ac:dyDescent="0.25">
      <c r="A28" s="14" t="s">
        <v>40</v>
      </c>
      <c r="B28" s="14"/>
      <c r="C28" s="14"/>
      <c r="E28" s="14" t="s">
        <v>40</v>
      </c>
      <c r="F28" s="14"/>
      <c r="G28" s="14"/>
      <c r="I28" s="14" t="s">
        <v>40</v>
      </c>
      <c r="J28" s="14"/>
      <c r="K28" s="14"/>
    </row>
    <row r="29" spans="1:11" ht="15.75" x14ac:dyDescent="0.25">
      <c r="A29" s="15" t="s">
        <v>41</v>
      </c>
      <c r="B29" s="57"/>
      <c r="C29" s="58"/>
      <c r="E29" s="15" t="s">
        <v>41</v>
      </c>
      <c r="F29" s="57"/>
      <c r="G29" s="58"/>
      <c r="I29" s="15" t="s">
        <v>41</v>
      </c>
      <c r="J29" s="57"/>
      <c r="K29" s="58"/>
    </row>
    <row r="30" spans="1:11" x14ac:dyDescent="0.25">
      <c r="A30"/>
      <c r="B30"/>
      <c r="C30"/>
      <c r="E30"/>
      <c r="F30"/>
      <c r="G30"/>
      <c r="I30"/>
      <c r="J30"/>
      <c r="K30"/>
    </row>
    <row r="31" spans="1:11" ht="15.75" x14ac:dyDescent="0.25">
      <c r="A31" s="16" t="s">
        <v>81</v>
      </c>
      <c r="B31"/>
      <c r="C31"/>
      <c r="E31" s="16" t="s">
        <v>81</v>
      </c>
      <c r="F31"/>
      <c r="G31"/>
      <c r="I31" s="16" t="s">
        <v>81</v>
      </c>
      <c r="J31"/>
      <c r="K31"/>
    </row>
  </sheetData>
  <mergeCells count="24">
    <mergeCell ref="A1:C1"/>
    <mergeCell ref="E1:G1"/>
    <mergeCell ref="I1:K1"/>
    <mergeCell ref="A2:C2"/>
    <mergeCell ref="E2:G2"/>
    <mergeCell ref="I2:K2"/>
    <mergeCell ref="A3:C3"/>
    <mergeCell ref="E3:G3"/>
    <mergeCell ref="I3:K3"/>
    <mergeCell ref="A4:C4"/>
    <mergeCell ref="E4:G4"/>
    <mergeCell ref="I4:K4"/>
    <mergeCell ref="A21:C21"/>
    <mergeCell ref="E21:G21"/>
    <mergeCell ref="I21:K21"/>
    <mergeCell ref="A22:C22"/>
    <mergeCell ref="E22:G22"/>
    <mergeCell ref="I22:K22"/>
    <mergeCell ref="A25:B25"/>
    <mergeCell ref="E25:F25"/>
    <mergeCell ref="I25:J25"/>
    <mergeCell ref="A26:B26"/>
    <mergeCell ref="E26:F26"/>
    <mergeCell ref="I26:J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C75D-AB77-44E0-BD01-EE19E5D62498}">
  <dimension ref="A1:C4"/>
  <sheetViews>
    <sheetView workbookViewId="0">
      <selection activeCell="E5" sqref="E5"/>
    </sheetView>
  </sheetViews>
  <sheetFormatPr defaultRowHeight="15" x14ac:dyDescent="0.25"/>
  <cols>
    <col min="1" max="1" width="12.85546875" customWidth="1"/>
    <col min="2" max="3" width="11.42578125" customWidth="1"/>
  </cols>
  <sheetData>
    <row r="1" spans="1:3" x14ac:dyDescent="0.25">
      <c r="A1" s="63" t="s">
        <v>59</v>
      </c>
      <c r="B1" s="63"/>
      <c r="C1" s="63"/>
    </row>
    <row r="3" spans="1:3" x14ac:dyDescent="0.25">
      <c r="A3" s="64" t="s">
        <v>55</v>
      </c>
      <c r="B3" s="65">
        <v>377.2</v>
      </c>
      <c r="C3" s="64" t="s">
        <v>56</v>
      </c>
    </row>
    <row r="4" spans="1:3" ht="30" x14ac:dyDescent="0.25">
      <c r="A4" s="66" t="s">
        <v>57</v>
      </c>
      <c r="B4" s="65">
        <v>6404.4</v>
      </c>
      <c r="C4" s="6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Gida_pakalpojumi</vt:lpstr>
      <vt:lpstr>Suvenīrmonētas_kalšana</vt:lpstr>
      <vt:lpstr>Dušas izmantošana</vt:lpstr>
      <vt:lpstr>Inventāra_noma</vt:lpstr>
      <vt:lpstr>Telpu_noma_Burtnieku 2</vt:lpstr>
      <vt:lpstr>Burtnieku_kvartāla_noma</vt:lpstr>
      <vt:lpstr>Nolietojums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Evija Kairiša</dc:creator>
  <cp:lastModifiedBy>Evija Kairiša</cp:lastModifiedBy>
  <dcterms:created xsi:type="dcterms:W3CDTF">2026-05-12T05:57:56Z</dcterms:created>
  <dcterms:modified xsi:type="dcterms:W3CDTF">2026-06-11T07:45:39Z</dcterms:modified>
</cp:coreProperties>
</file>